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28" yWindow="540" windowWidth="13116" windowHeight="8412"/>
  </bookViews>
  <sheets>
    <sheet name="Options" sheetId="1" r:id="rId1"/>
    <sheet name="Starting costs" sheetId="2" r:id="rId2"/>
    <sheet name="Sales" sheetId="3" r:id="rId3"/>
    <sheet name="Profit, breakeven point" sheetId="4" r:id="rId4"/>
    <sheet name="Tech sheet" sheetId="5" r:id="rId5"/>
  </sheets>
  <calcPr calcId="145621"/>
  <fileRecoveryPr repairLoad="1"/>
</workbook>
</file>

<file path=xl/calcChain.xml><?xml version="1.0" encoding="utf-8"?>
<calcChain xmlns="http://schemas.openxmlformats.org/spreadsheetml/2006/main">
  <c r="D22" i="4" l="1"/>
  <c r="D8" i="4"/>
  <c r="K16" i="5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E20" i="4"/>
  <c r="D20" i="4"/>
  <c r="G14" i="4"/>
  <c r="D12" i="4"/>
  <c r="D34" i="5"/>
  <c r="D11" i="4"/>
  <c r="C11" i="4"/>
  <c r="C10" i="4"/>
  <c r="D9" i="4"/>
  <c r="C9" i="4"/>
  <c r="AC3" i="4"/>
  <c r="D14" i="3"/>
  <c r="D15" i="5"/>
  <c r="D10" i="3"/>
  <c r="F15" i="2" l="1"/>
  <c r="C25" i="1" l="1"/>
  <c r="C23" i="1"/>
  <c r="C24" i="1"/>
  <c r="D14" i="1" l="1"/>
  <c r="J16" i="5" l="1"/>
  <c r="I16" i="5"/>
  <c r="D13" i="5" l="1"/>
  <c r="J26" i="5" l="1"/>
  <c r="H16" i="5"/>
  <c r="G16" i="5"/>
  <c r="J10" i="5"/>
  <c r="J9" i="5"/>
  <c r="AA10" i="3" s="1"/>
  <c r="AA12" i="4" s="1"/>
  <c r="J8" i="5"/>
  <c r="AE20" i="4"/>
  <c r="AD20" i="4"/>
  <c r="AC20" i="4"/>
  <c r="AE17" i="4"/>
  <c r="AD17" i="4"/>
  <c r="AC17" i="4"/>
  <c r="AA17" i="4"/>
  <c r="U17" i="4"/>
  <c r="O17" i="4"/>
  <c r="I17" i="4"/>
  <c r="AE16" i="4"/>
  <c r="AD16" i="4"/>
  <c r="AC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AE14" i="4"/>
  <c r="AD14" i="4"/>
  <c r="AC14" i="4"/>
  <c r="AA14" i="4"/>
  <c r="W14" i="4"/>
  <c r="S14" i="4"/>
  <c r="O14" i="4"/>
  <c r="K14" i="4"/>
  <c r="AE11" i="4"/>
  <c r="AD11" i="4"/>
  <c r="AC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AE10" i="4"/>
  <c r="AD10" i="4"/>
  <c r="AC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AE9" i="4"/>
  <c r="AD9" i="4"/>
  <c r="AC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J8" i="4" s="1"/>
  <c r="I9" i="4"/>
  <c r="H9" i="4"/>
  <c r="G9" i="4"/>
  <c r="F9" i="4"/>
  <c r="E9" i="4"/>
  <c r="AE3" i="4"/>
  <c r="AD3" i="4"/>
  <c r="AE14" i="3"/>
  <c r="AD14" i="3"/>
  <c r="AC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C14" i="3"/>
  <c r="C13" i="3"/>
  <c r="AR12" i="3"/>
  <c r="AQ12" i="3"/>
  <c r="AP12" i="3"/>
  <c r="AO12" i="3"/>
  <c r="AN12" i="3"/>
  <c r="AM12" i="3"/>
  <c r="AL12" i="3"/>
  <c r="AK12" i="3"/>
  <c r="AJ12" i="3"/>
  <c r="AI12" i="3"/>
  <c r="AH12" i="3"/>
  <c r="C12" i="3"/>
  <c r="AA8" i="3"/>
  <c r="AC8" i="3" s="1"/>
  <c r="AD8" i="3" s="1"/>
  <c r="AE8" i="3" s="1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AR7" i="3"/>
  <c r="AQ7" i="3"/>
  <c r="AP7" i="3"/>
  <c r="AO7" i="3"/>
  <c r="AN7" i="3"/>
  <c r="AM7" i="3"/>
  <c r="AL7" i="3"/>
  <c r="AK7" i="3"/>
  <c r="AJ7" i="3"/>
  <c r="AI7" i="3"/>
  <c r="AH7" i="3"/>
  <c r="AA7" i="3"/>
  <c r="AC7" i="3" s="1"/>
  <c r="AD7" i="3" s="1"/>
  <c r="AE7" i="3" s="1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F18" i="2"/>
  <c r="F14" i="2"/>
  <c r="F13" i="2"/>
  <c r="F12" i="2"/>
  <c r="F8" i="2"/>
  <c r="F7" i="2"/>
  <c r="F6" i="2"/>
  <c r="F5" i="2"/>
  <c r="D15" i="1"/>
  <c r="AA15" i="4" s="1"/>
  <c r="D10" i="1"/>
  <c r="G8" i="1"/>
  <c r="G7" i="1"/>
  <c r="G6" i="1"/>
  <c r="F9" i="2" l="1"/>
  <c r="H8" i="4"/>
  <c r="X8" i="4"/>
  <c r="L15" i="4"/>
  <c r="D15" i="4"/>
  <c r="T15" i="4"/>
  <c r="AC15" i="4"/>
  <c r="E35" i="2"/>
  <c r="E8" i="4"/>
  <c r="M8" i="4"/>
  <c r="U8" i="4"/>
  <c r="AD8" i="4"/>
  <c r="F8" i="4"/>
  <c r="N8" i="4"/>
  <c r="V8" i="4"/>
  <c r="AE8" i="4"/>
  <c r="W8" i="4"/>
  <c r="P8" i="4"/>
  <c r="R8" i="4"/>
  <c r="Z8" i="4"/>
  <c r="G8" i="4"/>
  <c r="O8" i="4"/>
  <c r="K8" i="4"/>
  <c r="S8" i="4"/>
  <c r="AA8" i="4"/>
  <c r="L8" i="4"/>
  <c r="T8" i="4"/>
  <c r="AC8" i="4"/>
  <c r="I8" i="4"/>
  <c r="Q8" i="4"/>
  <c r="Y8" i="4"/>
  <c r="O10" i="3"/>
  <c r="D19" i="5"/>
  <c r="D14" i="5"/>
  <c r="D12" i="3"/>
  <c r="AE10" i="3"/>
  <c r="AE12" i="4" s="1"/>
  <c r="Y7" i="4"/>
  <c r="Q7" i="4"/>
  <c r="I7" i="4"/>
  <c r="X7" i="4"/>
  <c r="P7" i="4"/>
  <c r="H7" i="4"/>
  <c r="W7" i="4"/>
  <c r="O7" i="4"/>
  <c r="G7" i="4"/>
  <c r="AE7" i="4"/>
  <c r="V7" i="4"/>
  <c r="N7" i="4"/>
  <c r="F7" i="4"/>
  <c r="Z7" i="4"/>
  <c r="AD7" i="4"/>
  <c r="U7" i="4"/>
  <c r="M7" i="4"/>
  <c r="E7" i="4"/>
  <c r="E19" i="2"/>
  <c r="F19" i="2" s="1"/>
  <c r="F20" i="2" s="1"/>
  <c r="AC7" i="4"/>
  <c r="T7" i="4"/>
  <c r="L7" i="4"/>
  <c r="D7" i="4"/>
  <c r="AA7" i="4"/>
  <c r="S7" i="4"/>
  <c r="K7" i="4"/>
  <c r="R7" i="4"/>
  <c r="J7" i="4"/>
  <c r="P10" i="3"/>
  <c r="E15" i="4"/>
  <c r="M15" i="4"/>
  <c r="U15" i="4"/>
  <c r="AD15" i="4"/>
  <c r="F15" i="4"/>
  <c r="N15" i="4"/>
  <c r="V15" i="4"/>
  <c r="AE15" i="4"/>
  <c r="G15" i="4"/>
  <c r="O15" i="4"/>
  <c r="W15" i="4"/>
  <c r="H15" i="4"/>
  <c r="P15" i="4"/>
  <c r="X15" i="4"/>
  <c r="I15" i="4"/>
  <c r="Q15" i="4"/>
  <c r="Y15" i="4"/>
  <c r="J15" i="4"/>
  <c r="R15" i="4"/>
  <c r="Z15" i="4"/>
  <c r="K15" i="4"/>
  <c r="S15" i="4"/>
  <c r="F24" i="2" l="1"/>
  <c r="D28" i="4" s="1"/>
  <c r="Q10" i="3"/>
  <c r="Q12" i="4" s="1"/>
  <c r="P12" i="4"/>
  <c r="E10" i="3"/>
  <c r="E12" i="3" s="1"/>
  <c r="O12" i="4"/>
  <c r="AA12" i="3"/>
  <c r="D16" i="5"/>
  <c r="AE12" i="3"/>
  <c r="O12" i="3"/>
  <c r="P12" i="3"/>
  <c r="AC10" i="3"/>
  <c r="F10" i="3" l="1"/>
  <c r="E12" i="4"/>
  <c r="AC12" i="3"/>
  <c r="AC12" i="4"/>
  <c r="Q12" i="3"/>
  <c r="R10" i="3"/>
  <c r="R12" i="4" s="1"/>
  <c r="D20" i="5"/>
  <c r="D13" i="3"/>
  <c r="D16" i="3" s="1"/>
  <c r="D4" i="4" s="1"/>
  <c r="D13" i="4" s="1"/>
  <c r="E13" i="3"/>
  <c r="E16" i="3" s="1"/>
  <c r="E4" i="4" s="1"/>
  <c r="E13" i="4" s="1"/>
  <c r="P13" i="3"/>
  <c r="P16" i="3" s="1"/>
  <c r="P4" i="4" s="1"/>
  <c r="O13" i="3"/>
  <c r="O16" i="3" s="1"/>
  <c r="O4" i="4" s="1"/>
  <c r="O13" i="4" s="1"/>
  <c r="F13" i="3"/>
  <c r="F16" i="3" s="1"/>
  <c r="F4" i="4" s="1"/>
  <c r="F22" i="4" s="1"/>
  <c r="AE13" i="3"/>
  <c r="AE16" i="3" s="1"/>
  <c r="AE4" i="4" s="1"/>
  <c r="AE22" i="4" s="1"/>
  <c r="Q13" i="3"/>
  <c r="Q16" i="3" s="1"/>
  <c r="Q4" i="4" s="1"/>
  <c r="AA13" i="3"/>
  <c r="AA16" i="3" s="1"/>
  <c r="AA4" i="4" s="1"/>
  <c r="AA13" i="4" s="1"/>
  <c r="AD10" i="3"/>
  <c r="AD12" i="4" s="1"/>
  <c r="AC13" i="3"/>
  <c r="S10" i="3" l="1"/>
  <c r="S12" i="4" s="1"/>
  <c r="R13" i="3"/>
  <c r="R16" i="3" s="1"/>
  <c r="R4" i="4" s="1"/>
  <c r="R24" i="4" s="1"/>
  <c r="R12" i="3"/>
  <c r="E18" i="4"/>
  <c r="E23" i="4" s="1"/>
  <c r="E24" i="4"/>
  <c r="E22" i="4"/>
  <c r="E6" i="4" s="1"/>
  <c r="E26" i="4" s="1"/>
  <c r="F12" i="4"/>
  <c r="F12" i="3"/>
  <c r="G10" i="3"/>
  <c r="D24" i="4"/>
  <c r="AC16" i="3"/>
  <c r="AC4" i="4" s="1"/>
  <c r="D18" i="4"/>
  <c r="D23" i="4" s="1"/>
  <c r="O24" i="4"/>
  <c r="P13" i="4"/>
  <c r="P24" i="4"/>
  <c r="AE13" i="4"/>
  <c r="F24" i="4"/>
  <c r="F13" i="4"/>
  <c r="F18" i="4"/>
  <c r="F23" i="4" s="1"/>
  <c r="O22" i="4"/>
  <c r="O18" i="4"/>
  <c r="O23" i="4" s="1"/>
  <c r="AA24" i="4"/>
  <c r="AA18" i="4"/>
  <c r="AA23" i="4" s="1"/>
  <c r="Q24" i="4"/>
  <c r="Q18" i="4"/>
  <c r="Q23" i="4" s="1"/>
  <c r="Q22" i="4"/>
  <c r="AA22" i="4"/>
  <c r="Q13" i="4"/>
  <c r="R18" i="4"/>
  <c r="R23" i="4" s="1"/>
  <c r="R22" i="4"/>
  <c r="P18" i="4"/>
  <c r="P23" i="4" s="1"/>
  <c r="AE24" i="4"/>
  <c r="P22" i="4"/>
  <c r="AE18" i="4"/>
  <c r="AE23" i="4" s="1"/>
  <c r="R13" i="4"/>
  <c r="S12" i="3"/>
  <c r="T10" i="3"/>
  <c r="T12" i="4" s="1"/>
  <c r="S13" i="3"/>
  <c r="S16" i="3" s="1"/>
  <c r="S4" i="4" s="1"/>
  <c r="AD12" i="3"/>
  <c r="AD13" i="3"/>
  <c r="AD16" i="3" s="1"/>
  <c r="AD4" i="4" s="1"/>
  <c r="H10" i="3" l="1"/>
  <c r="G12" i="4"/>
  <c r="G12" i="3"/>
  <c r="G13" i="3"/>
  <c r="G16" i="3" s="1"/>
  <c r="G4" i="4" s="1"/>
  <c r="AC13" i="4"/>
  <c r="AC22" i="4"/>
  <c r="AC18" i="4"/>
  <c r="AC23" i="4" s="1"/>
  <c r="AC24" i="4"/>
  <c r="D6" i="4"/>
  <c r="D26" i="4" s="1"/>
  <c r="E31" i="4" s="1"/>
  <c r="F6" i="4"/>
  <c r="F26" i="4" s="1"/>
  <c r="O6" i="4"/>
  <c r="O26" i="4" s="1"/>
  <c r="O27" i="4" s="1"/>
  <c r="AA6" i="4"/>
  <c r="AA26" i="4" s="1"/>
  <c r="AA27" i="4" s="1"/>
  <c r="AE6" i="4"/>
  <c r="AE26" i="4" s="1"/>
  <c r="P6" i="4"/>
  <c r="P26" i="4" s="1"/>
  <c r="Q6" i="4"/>
  <c r="Q26" i="4" s="1"/>
  <c r="Q27" i="4" s="1"/>
  <c r="R6" i="4"/>
  <c r="R26" i="4" s="1"/>
  <c r="R27" i="4" s="1"/>
  <c r="E27" i="4"/>
  <c r="T12" i="3"/>
  <c r="U10" i="3"/>
  <c r="U12" i="4" s="1"/>
  <c r="T13" i="3"/>
  <c r="T16" i="3" s="1"/>
  <c r="T4" i="4" s="1"/>
  <c r="S18" i="4"/>
  <c r="S23" i="4" s="1"/>
  <c r="S24" i="4"/>
  <c r="S13" i="4"/>
  <c r="S22" i="4"/>
  <c r="AD22" i="4"/>
  <c r="AD18" i="4"/>
  <c r="AD23" i="4" s="1"/>
  <c r="AD24" i="4"/>
  <c r="AD13" i="4"/>
  <c r="D27" i="4" l="1"/>
  <c r="D31" i="4"/>
  <c r="I10" i="3"/>
  <c r="H12" i="4"/>
  <c r="H13" i="3"/>
  <c r="H16" i="3" s="1"/>
  <c r="H4" i="4" s="1"/>
  <c r="H12" i="3"/>
  <c r="G24" i="4"/>
  <c r="G22" i="4"/>
  <c r="G18" i="4"/>
  <c r="G23" i="4" s="1"/>
  <c r="G13" i="4"/>
  <c r="AC6" i="4"/>
  <c r="AC26" i="4" s="1"/>
  <c r="F27" i="4"/>
  <c r="F31" i="4"/>
  <c r="P31" i="4"/>
  <c r="P27" i="4"/>
  <c r="Q31" i="4"/>
  <c r="R31" i="4"/>
  <c r="AD6" i="4"/>
  <c r="AD26" i="4" s="1"/>
  <c r="V10" i="3"/>
  <c r="V12" i="4" s="1"/>
  <c r="U12" i="3"/>
  <c r="U13" i="3"/>
  <c r="U16" i="3" s="1"/>
  <c r="U4" i="4" s="1"/>
  <c r="S6" i="4"/>
  <c r="S26" i="4" s="1"/>
  <c r="T22" i="4"/>
  <c r="T18" i="4"/>
  <c r="T23" i="4" s="1"/>
  <c r="T24" i="4"/>
  <c r="T13" i="4"/>
  <c r="G6" i="4" l="1"/>
  <c r="G26" i="4" s="1"/>
  <c r="G27" i="4" s="1"/>
  <c r="I12" i="3"/>
  <c r="I12" i="4"/>
  <c r="I13" i="3"/>
  <c r="I16" i="3" s="1"/>
  <c r="I4" i="4" s="1"/>
  <c r="J10" i="3"/>
  <c r="H13" i="4"/>
  <c r="H18" i="4"/>
  <c r="H23" i="4" s="1"/>
  <c r="H24" i="4"/>
  <c r="H22" i="4"/>
  <c r="T6" i="4"/>
  <c r="T26" i="4" s="1"/>
  <c r="T27" i="4" s="1"/>
  <c r="U22" i="4"/>
  <c r="U18" i="4"/>
  <c r="U23" i="4" s="1"/>
  <c r="U24" i="4"/>
  <c r="U13" i="4"/>
  <c r="W10" i="3"/>
  <c r="W12" i="4" s="1"/>
  <c r="V12" i="3"/>
  <c r="V13" i="3"/>
  <c r="V16" i="3" s="1"/>
  <c r="V4" i="4" s="1"/>
  <c r="S31" i="4"/>
  <c r="S27" i="4"/>
  <c r="H6" i="4" l="1"/>
  <c r="H26" i="4" s="1"/>
  <c r="H27" i="4" s="1"/>
  <c r="G31" i="4"/>
  <c r="I18" i="4"/>
  <c r="I23" i="4" s="1"/>
  <c r="I13" i="4"/>
  <c r="I22" i="4"/>
  <c r="I24" i="4"/>
  <c r="J12" i="3"/>
  <c r="J12" i="4"/>
  <c r="K10" i="3"/>
  <c r="J13" i="3"/>
  <c r="J16" i="3" s="1"/>
  <c r="J4" i="4" s="1"/>
  <c r="T31" i="4"/>
  <c r="U6" i="4"/>
  <c r="U26" i="4" s="1"/>
  <c r="U31" i="4" s="1"/>
  <c r="V18" i="4"/>
  <c r="V23" i="4" s="1"/>
  <c r="V24" i="4"/>
  <c r="V13" i="4"/>
  <c r="V22" i="4"/>
  <c r="X10" i="3"/>
  <c r="X12" i="4" s="1"/>
  <c r="W12" i="3"/>
  <c r="W13" i="3"/>
  <c r="W16" i="3" s="1"/>
  <c r="W4" i="4" s="1"/>
  <c r="I6" i="4" l="1"/>
  <c r="I26" i="4" s="1"/>
  <c r="I27" i="4" s="1"/>
  <c r="H31" i="4"/>
  <c r="J18" i="4"/>
  <c r="J23" i="4" s="1"/>
  <c r="J22" i="4"/>
  <c r="J13" i="4"/>
  <c r="J24" i="4"/>
  <c r="L10" i="3"/>
  <c r="K12" i="4"/>
  <c r="K12" i="3"/>
  <c r="K13" i="3"/>
  <c r="K16" i="3" s="1"/>
  <c r="K4" i="4" s="1"/>
  <c r="U27" i="4"/>
  <c r="W24" i="4"/>
  <c r="W13" i="4"/>
  <c r="W18" i="4"/>
  <c r="W23" i="4" s="1"/>
  <c r="W22" i="4"/>
  <c r="V6" i="4"/>
  <c r="V26" i="4" s="1"/>
  <c r="X12" i="3"/>
  <c r="Y10" i="3"/>
  <c r="Y12" i="4" s="1"/>
  <c r="X13" i="3"/>
  <c r="X16" i="3" s="1"/>
  <c r="X4" i="4" s="1"/>
  <c r="I31" i="4" l="1"/>
  <c r="J6" i="4"/>
  <c r="J26" i="4" s="1"/>
  <c r="J27" i="4" s="1"/>
  <c r="L12" i="4"/>
  <c r="L12" i="3"/>
  <c r="L13" i="3"/>
  <c r="L16" i="3" s="1"/>
  <c r="L4" i="4" s="1"/>
  <c r="M10" i="3"/>
  <c r="K18" i="4"/>
  <c r="K23" i="4" s="1"/>
  <c r="K22" i="4"/>
  <c r="K13" i="4"/>
  <c r="K24" i="4"/>
  <c r="V31" i="4"/>
  <c r="V27" i="4"/>
  <c r="X22" i="4"/>
  <c r="X24" i="4"/>
  <c r="X13" i="4"/>
  <c r="X18" i="4"/>
  <c r="X23" i="4" s="1"/>
  <c r="W6" i="4"/>
  <c r="W26" i="4" s="1"/>
  <c r="Z10" i="3"/>
  <c r="Z12" i="4" s="1"/>
  <c r="Y12" i="3"/>
  <c r="Y13" i="3"/>
  <c r="Y16" i="3" s="1"/>
  <c r="Y4" i="4" s="1"/>
  <c r="J31" i="4" l="1"/>
  <c r="L18" i="4"/>
  <c r="L23" i="4" s="1"/>
  <c r="L24" i="4"/>
  <c r="L13" i="4"/>
  <c r="L22" i="4"/>
  <c r="K6" i="4"/>
  <c r="K26" i="4" s="1"/>
  <c r="M12" i="4"/>
  <c r="M12" i="3"/>
  <c r="N10" i="3"/>
  <c r="M13" i="3"/>
  <c r="M16" i="3" s="1"/>
  <c r="M4" i="4" s="1"/>
  <c r="W31" i="4"/>
  <c r="W27" i="4"/>
  <c r="Y22" i="4"/>
  <c r="Y18" i="4"/>
  <c r="Y23" i="4" s="1"/>
  <c r="Y24" i="4"/>
  <c r="Y13" i="4"/>
  <c r="X6" i="4"/>
  <c r="X26" i="4" s="1"/>
  <c r="Z12" i="3"/>
  <c r="Z13" i="3"/>
  <c r="Z16" i="3" s="1"/>
  <c r="Z4" i="4" s="1"/>
  <c r="L6" i="4" l="1"/>
  <c r="L26" i="4" s="1"/>
  <c r="L27" i="4" s="1"/>
  <c r="K31" i="4"/>
  <c r="K27" i="4"/>
  <c r="M24" i="4"/>
  <c r="M13" i="4"/>
  <c r="M22" i="4"/>
  <c r="M18" i="4"/>
  <c r="M23" i="4" s="1"/>
  <c r="N12" i="4"/>
  <c r="N13" i="3"/>
  <c r="N16" i="3" s="1"/>
  <c r="N4" i="4" s="1"/>
  <c r="J35" i="4" s="1"/>
  <c r="N12" i="3"/>
  <c r="Y6" i="4"/>
  <c r="Y26" i="4" s="1"/>
  <c r="Z22" i="4"/>
  <c r="Z18" i="4"/>
  <c r="Z23" i="4" s="1"/>
  <c r="Z24" i="4"/>
  <c r="Z13" i="4"/>
  <c r="H5" i="1"/>
  <c r="X31" i="4"/>
  <c r="X27" i="4"/>
  <c r="L31" i="4" l="1"/>
  <c r="M6" i="4"/>
  <c r="M26" i="4" s="1"/>
  <c r="M27" i="4" s="1"/>
  <c r="N18" i="4"/>
  <c r="N23" i="4" s="1"/>
  <c r="N24" i="4"/>
  <c r="N13" i="4"/>
  <c r="N22" i="4"/>
  <c r="Z6" i="4"/>
  <c r="Z26" i="4" s="1"/>
  <c r="Y27" i="4"/>
  <c r="Y31" i="4"/>
  <c r="M31" i="4" l="1"/>
  <c r="N6" i="4"/>
  <c r="N26" i="4" s="1"/>
  <c r="N27" i="4" s="1"/>
  <c r="Z27" i="4"/>
  <c r="AA31" i="4"/>
  <c r="Z31" i="4"/>
  <c r="N31" i="4" l="1"/>
  <c r="O31" i="4"/>
  <c r="D35" i="4"/>
  <c r="H6" i="1" s="1"/>
  <c r="H9" i="1" s="1"/>
  <c r="J36" i="4"/>
  <c r="J37" i="4" s="1"/>
  <c r="D29" i="4"/>
  <c r="D37" i="4" l="1"/>
  <c r="H7" i="1" s="1"/>
  <c r="E29" i="4"/>
  <c r="F29" i="4" s="1"/>
  <c r="D32" i="4"/>
  <c r="E32" i="4" l="1"/>
  <c r="G29" i="4"/>
  <c r="F32" i="4"/>
  <c r="H29" i="4" l="1"/>
  <c r="G32" i="4"/>
  <c r="H32" i="4" l="1"/>
  <c r="I29" i="4"/>
  <c r="I32" i="4" l="1"/>
  <c r="J29" i="4"/>
  <c r="K29" i="4" l="1"/>
  <c r="J32" i="4"/>
  <c r="L29" i="4" l="1"/>
  <c r="K32" i="4"/>
  <c r="M29" i="4" l="1"/>
  <c r="L32" i="4"/>
  <c r="N29" i="4" l="1"/>
  <c r="M32" i="4"/>
  <c r="O29" i="4" l="1"/>
  <c r="N32" i="4"/>
  <c r="P29" i="4" l="1"/>
  <c r="O32" i="4"/>
  <c r="P32" i="4" l="1"/>
  <c r="Q29" i="4"/>
  <c r="Q32" i="4" l="1"/>
  <c r="R29" i="4"/>
  <c r="S29" i="4" l="1"/>
  <c r="R32" i="4"/>
  <c r="T29" i="4" l="1"/>
  <c r="S32" i="4"/>
  <c r="U29" i="4" l="1"/>
  <c r="T32" i="4"/>
  <c r="V29" i="4" l="1"/>
  <c r="U32" i="4"/>
  <c r="W29" i="4" l="1"/>
  <c r="V32" i="4"/>
  <c r="X29" i="4" l="1"/>
  <c r="W32" i="4"/>
  <c r="X32" i="4" l="1"/>
  <c r="Y29" i="4"/>
  <c r="Y32" i="4" l="1"/>
  <c r="Z29" i="4"/>
  <c r="AA29" i="4" l="1"/>
  <c r="AA32" i="4" s="1"/>
  <c r="Z32" i="4"/>
  <c r="D39" i="4" l="1"/>
  <c r="H8" i="1" s="1"/>
</calcChain>
</file>

<file path=xl/comments1.xml><?xml version="1.0" encoding="utf-8"?>
<comments xmlns="http://schemas.openxmlformats.org/spreadsheetml/2006/main">
  <authors>
    <author/>
  </authors>
  <commentList>
    <comment ref="C13" authorId="0">
      <text>
        <r>
          <rPr>
            <sz val="10"/>
            <color rgb="FF000000"/>
            <rFont val="Arial"/>
          </rPr>
          <t>Additional budget spent on local marketing to attract customers. Franchise owner can, in agreement with you, increase the promotion budget for faster growth in profits and payback period.</t>
        </r>
      </text>
    </comment>
    <comment ref="C14" authorId="0">
      <text>
        <r>
          <rPr>
            <sz val="10"/>
            <color rgb="FF000000"/>
            <rFont val="Arial"/>
          </rPr>
          <t>Buttons, batteries and so on.</t>
        </r>
      </text>
    </comment>
    <comment ref="C22" authorId="0">
      <text>
        <r>
          <rPr>
            <sz val="10"/>
            <color rgb="FF000000"/>
            <rFont val="Arial"/>
          </rPr>
          <t>Corporate income TAX or personal income Tax depending on incorporation form. Social sequrity taxes are not included.</t>
        </r>
      </text>
    </comment>
  </commentList>
</comments>
</file>

<file path=xl/comments2.xml><?xml version="1.0" encoding="utf-8"?>
<comments xmlns="http://schemas.openxmlformats.org/spreadsheetml/2006/main">
  <authors>
    <author/>
    <author>Gena</author>
  </authors>
  <commentList>
    <comment ref="H6" authorId="0">
      <text>
        <r>
          <rPr>
            <sz val="10"/>
            <color rgb="FF000000"/>
            <rFont val="Arial"/>
          </rPr>
          <t>Maximum for the year</t>
        </r>
      </text>
    </comment>
    <comment ref="I6" authorId="0">
      <text>
        <r>
          <rPr>
            <sz val="10"/>
            <color rgb="FF000000"/>
            <rFont val="Arial"/>
          </rPr>
          <t>Maximum per month</t>
        </r>
      </text>
    </comment>
    <comment ref="D13" authorId="0">
      <text>
        <r>
          <rPr>
            <sz val="10"/>
            <color rgb="FF000000"/>
            <rFont val="Arial"/>
          </rPr>
          <t>( working hours * 60 / time between games )</t>
        </r>
      </text>
    </comment>
    <comment ref="G18" authorId="0">
      <text>
        <r>
          <rPr>
            <sz val="10"/>
            <color rgb="FF000000"/>
            <rFont val="Arial"/>
          </rPr>
          <t>Additional marketing costs as a percentage of revenue per customer. This indicator depends on the cost of a successful lead, the percentage of converting a lead to a customer, and income from one customer. You can calculate it only if you have already had a laser tag business with an established advertising campaign.</t>
        </r>
      </text>
    </comment>
    <comment ref="I21" authorId="0">
      <text>
        <r>
          <rPr>
            <sz val="10"/>
            <color rgb="FF000000"/>
            <rFont val="Arial"/>
          </rPr>
          <t xml:space="preserve">It will depend on country and state. States can have own additional corpotate taxes. </t>
        </r>
      </text>
    </comment>
    <comment ref="I22" authorId="1">
      <text>
        <r>
          <rPr>
            <sz val="9"/>
            <color indexed="81"/>
            <rFont val="Tahoma"/>
            <family val="2"/>
            <charset val="204"/>
          </rPr>
          <t>Depends on your  existing tax rate Bracket</t>
        </r>
      </text>
    </comment>
  </commentList>
</comments>
</file>

<file path=xl/sharedStrings.xml><?xml version="1.0" encoding="utf-8"?>
<sst xmlns="http://schemas.openxmlformats.org/spreadsheetml/2006/main" count="167" uniqueCount="148">
  <si>
    <t>Кол-во</t>
  </si>
  <si>
    <t>Цена за ед.</t>
  </si>
  <si>
    <t>Всего</t>
  </si>
  <si>
    <r>
      <rPr>
        <sz val="22"/>
        <color rgb="FF033B58"/>
        <rFont val="Arial"/>
      </rPr>
      <t xml:space="preserve">   </t>
    </r>
    <r>
      <rPr>
        <b/>
        <sz val="22"/>
        <color rgb="FF30383B"/>
        <rFont val="Arial"/>
      </rPr>
      <t xml:space="preserve">   ПРОДАЖИ VR Park</t>
    </r>
  </si>
  <si>
    <t>ФОТ % часть управляющего</t>
  </si>
  <si>
    <t>Налоги на ФОТ</t>
  </si>
  <si>
    <t xml:space="preserve"> </t>
  </si>
  <si>
    <t>Best-case</t>
  </si>
  <si>
    <t>Average-case</t>
  </si>
  <si>
    <t>Worst-case</t>
  </si>
  <si>
    <t>Coporate</t>
  </si>
  <si>
    <t>Private</t>
  </si>
  <si>
    <t>Federal Corporate Income Tax</t>
  </si>
  <si>
    <t>Income Tax</t>
  </si>
  <si>
    <t xml:space="preserve">Outdoor laser tag </t>
  </si>
  <si>
    <t>Number of playgrounds</t>
  </si>
  <si>
    <t>Revenue generation options</t>
  </si>
  <si>
    <t>Maximum number of players at the same time</t>
  </si>
  <si>
    <t>Depends on number of game sets you bought with Frachise</t>
  </si>
  <si>
    <t>Time between two separate games</t>
  </si>
  <si>
    <t>Game time</t>
  </si>
  <si>
    <t>Number of working days per month</t>
  </si>
  <si>
    <t>Working time, hours / day</t>
  </si>
  <si>
    <t>for exaple from 9am to 9pm</t>
  </si>
  <si>
    <t>Maximum number of gaming sessions per day</t>
  </si>
  <si>
    <t>Maximum number of gaming sessions per month</t>
  </si>
  <si>
    <t>Calculated based on time between games and working hours per day</t>
  </si>
  <si>
    <t>Maximum playground load players per day</t>
  </si>
  <si>
    <t>how many player can play during one day</t>
  </si>
  <si>
    <t>Maximum playground load players per month</t>
  </si>
  <si>
    <t>Case</t>
  </si>
  <si>
    <t xml:space="preserve"> Max load (end of the 1st year) </t>
  </si>
  <si>
    <t>Max load (end of the 2nd year</t>
  </si>
  <si>
    <t>average players per day according to best-average-worst case</t>
  </si>
  <si>
    <t xml:space="preserve">Average players per day </t>
  </si>
  <si>
    <t xml:space="preserve">Average players per month </t>
  </si>
  <si>
    <t>average players per month according to best-average-worst case</t>
  </si>
  <si>
    <t>Revenue generation numbers</t>
  </si>
  <si>
    <t>Price per person for one game (USD)</t>
  </si>
  <si>
    <t>Cost options</t>
  </si>
  <si>
    <t>Other costs per month</t>
  </si>
  <si>
    <t>Royalty</t>
  </si>
  <si>
    <t>Game instructor per hour salary (USD)</t>
  </si>
  <si>
    <t>Game instructor merch</t>
  </si>
  <si>
    <t>Internet</t>
  </si>
  <si>
    <t>make white if 0</t>
  </si>
  <si>
    <t>Stuff Sallary</t>
  </si>
  <si>
    <t>Per month</t>
  </si>
  <si>
    <t>Reception manager</t>
  </si>
  <si>
    <t>Technician</t>
  </si>
  <si>
    <t>Sales manager</t>
  </si>
  <si>
    <t>percent of revenues</t>
  </si>
  <si>
    <t>no</t>
  </si>
  <si>
    <t>% load during the 1 month of operation</t>
  </si>
  <si>
    <t>Selected options</t>
  </si>
  <si>
    <t>SS Tax + Medicare</t>
  </si>
  <si>
    <t>Count all</t>
  </si>
  <si>
    <t>only sallary</t>
  </si>
  <si>
    <t>do not count</t>
  </si>
  <si>
    <t>TAX</t>
  </si>
  <si>
    <t>Persent</t>
  </si>
  <si>
    <t>Option</t>
  </si>
  <si>
    <t>Select</t>
  </si>
  <si>
    <t>Forecast scenario</t>
  </si>
  <si>
    <t>Select forecasted case</t>
  </si>
  <si>
    <t>Value</t>
  </si>
  <si>
    <t>Description</t>
  </si>
  <si>
    <t>Playground rent</t>
  </si>
  <si>
    <t>Playground rent price per month (USD)</t>
  </si>
  <si>
    <t>Number for playgrounds</t>
  </si>
  <si>
    <t>Total Rent costs</t>
  </si>
  <si>
    <t>If you play in public parts it will be zero, if you rent location, please enter rent price here</t>
  </si>
  <si>
    <t>Rent costs</t>
  </si>
  <si>
    <t>Power consumption, kWh per month</t>
  </si>
  <si>
    <t>Сost per kWh</t>
  </si>
  <si>
    <t>Enter the cost of kWh in your area</t>
  </si>
  <si>
    <t>Power consumption</t>
  </si>
  <si>
    <t>Power consumption cost</t>
  </si>
  <si>
    <t>power comnsumption needed for chargin equipment per month</t>
  </si>
  <si>
    <t>Taxes</t>
  </si>
  <si>
    <t>Legal entity type</t>
  </si>
  <si>
    <t>The amount of taxes depends on this item.</t>
  </si>
  <si>
    <t>Tax regime</t>
  </si>
  <si>
    <t>Recommended tax regime</t>
  </si>
  <si>
    <t>Stuff</t>
  </si>
  <si>
    <t>Number of staff</t>
  </si>
  <si>
    <t>Select 1, if you need sales manager or 0 if you plan to process orders yourself</t>
  </si>
  <si>
    <t>Select the number of reception managers</t>
  </si>
  <si>
    <t xml:space="preserve">Select the number of technicians. Select 0 if you buy new warranty equipment </t>
  </si>
  <si>
    <t>Qty</t>
  </si>
  <si>
    <t>Price per one.</t>
  </si>
  <si>
    <t>Total</t>
  </si>
  <si>
    <t xml:space="preserve">Equipment </t>
  </si>
  <si>
    <t>Laser tag Equipment Easy Start Set X-gen + OLED+ feedback</t>
  </si>
  <si>
    <t xml:space="preserve">Enter your optional equipment here </t>
  </si>
  <si>
    <t>Digital Flag device</t>
  </si>
  <si>
    <t>Subtotal:</t>
  </si>
  <si>
    <t>Delivery</t>
  </si>
  <si>
    <t>Shipping with UPS to your address</t>
  </si>
  <si>
    <t xml:space="preserve">Export brokerage documents </t>
  </si>
  <si>
    <t>Import Taxes</t>
  </si>
  <si>
    <t>Optional costs</t>
  </si>
  <si>
    <t>(Merch) Instructor clothing</t>
  </si>
  <si>
    <t xml:space="preserve">Set of inflatables (if needed) </t>
  </si>
  <si>
    <t>Lumpsum payment</t>
  </si>
  <si>
    <t>Total costs to start:</t>
  </si>
  <si>
    <t>Location Load</t>
  </si>
  <si>
    <t>Month</t>
  </si>
  <si>
    <t xml:space="preserve">3d year </t>
  </si>
  <si>
    <t>5th year</t>
  </si>
  <si>
    <t>4th yeat</t>
  </si>
  <si>
    <t>MONTH</t>
  </si>
  <si>
    <t>EARNINGS</t>
  </si>
  <si>
    <t>Total earnings per month:</t>
  </si>
  <si>
    <t>Total costs, including:</t>
  </si>
  <si>
    <t>Location  Rent</t>
  </si>
  <si>
    <t>Staff Sallary</t>
  </si>
  <si>
    <t>Game instructor sallary</t>
  </si>
  <si>
    <t>Marketing client cost</t>
  </si>
  <si>
    <t>Incorporation from</t>
  </si>
  <si>
    <t>Additional marketing costs</t>
  </si>
  <si>
    <t>Сonsumables</t>
  </si>
  <si>
    <t>Staff merch update</t>
  </si>
  <si>
    <t>Additional marketing</t>
  </si>
  <si>
    <t>Other unforeseen expenses (3% eaenings)</t>
  </si>
  <si>
    <t>Profit</t>
  </si>
  <si>
    <t>Starting costs</t>
  </si>
  <si>
    <t>Payback</t>
  </si>
  <si>
    <t>Break even</t>
  </si>
  <si>
    <t>Payback Month</t>
  </si>
  <si>
    <t>Result</t>
  </si>
  <si>
    <t>Average net profit for 2 years, $/month</t>
  </si>
  <si>
    <t>Break even point month</t>
  </si>
  <si>
    <t>Payback period, month.</t>
  </si>
  <si>
    <t>5 years Numbers</t>
  </si>
  <si>
    <t xml:space="preserve">Average earnings for 5 years per MONTH  </t>
  </si>
  <si>
    <t xml:space="preserve">Average net profir  for 5 years per MONTH  </t>
  </si>
  <si>
    <t xml:space="preserve">Average profitability for 5 yers per MONTH </t>
  </si>
  <si>
    <t xml:space="preserve">Profit, Break-even and Payback (Outdoor LaserTag) </t>
  </si>
  <si>
    <t>Franchise options selection table, you only need to change the highlighted cells, the rest of the table will be calculated by itself</t>
  </si>
  <si>
    <t>Franchise financial performance</t>
  </si>
  <si>
    <t>Average monthly earnings for 2 years ($)</t>
  </si>
  <si>
    <t>Average business profitability</t>
  </si>
  <si>
    <t>Outdoor LaserTag</t>
  </si>
  <si>
    <t>Technical sheet, change only grey cells</t>
  </si>
  <si>
    <t>Calculated based on players per day and number of working day in a month</t>
  </si>
  <si>
    <t>Number of games a month</t>
  </si>
  <si>
    <t>Game instructor sallary (month) with 100%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</si>
</sst>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_-* #,##0_р_._-;\-* #,##0_р_._-;_-* &quot;-&quot;??_р_._-;_-@"/>
    <numFmt numFmtId="166" formatCode="[$$-409]#,##0.00"/>
    <numFmt numFmtId="167" formatCode="[$$-409]#,##0"/>
  </numFmts>
  <fonts count="42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1"/>
      <color rgb="FF000000"/>
      <name val="Arial"/>
    </font>
    <font>
      <sz val="22"/>
      <color rgb="FF30383B"/>
      <name val="Arial"/>
    </font>
    <font>
      <sz val="10"/>
      <color rgb="FF30383B"/>
      <name val="Arial"/>
    </font>
    <font>
      <sz val="10"/>
      <color rgb="FF033B58"/>
      <name val="Arial"/>
    </font>
    <font>
      <sz val="10"/>
      <color rgb="FFF2F2F2"/>
      <name val="Arial"/>
    </font>
    <font>
      <sz val="22"/>
      <color rgb="FF033B58"/>
      <name val="Arial"/>
    </font>
    <font>
      <sz val="22"/>
      <color rgb="FF000000"/>
      <name val="Arial"/>
    </font>
    <font>
      <b/>
      <sz val="16"/>
      <color theme="0"/>
      <name val="Arial"/>
    </font>
    <font>
      <b/>
      <sz val="22"/>
      <color rgb="FFFF664D"/>
      <name val="Arial"/>
    </font>
    <font>
      <b/>
      <sz val="11"/>
      <color rgb="FF000000"/>
      <name val="Arial"/>
    </font>
    <font>
      <b/>
      <sz val="11"/>
      <color theme="1"/>
      <name val="Arial"/>
    </font>
    <font>
      <sz val="12"/>
      <color theme="1"/>
      <name val="Arial"/>
    </font>
    <font>
      <b/>
      <sz val="11"/>
      <color rgb="FF361B00"/>
      <name val="Arial"/>
    </font>
    <font>
      <b/>
      <sz val="22"/>
      <color rgb="FF30383B"/>
      <name val="Arial"/>
    </font>
    <font>
      <b/>
      <sz val="10"/>
      <color rgb="FF30383B"/>
      <name val="Arial"/>
    </font>
    <font>
      <i/>
      <sz val="10"/>
      <color theme="1"/>
      <name val="Arial"/>
    </font>
    <font>
      <i/>
      <sz val="10"/>
      <color rgb="FF000000"/>
      <name val="Arial"/>
    </font>
    <font>
      <sz val="10"/>
      <color rgb="FFFFFFFF"/>
      <name val="Arial"/>
    </font>
    <font>
      <b/>
      <sz val="10"/>
      <color rgb="FFC00000"/>
      <name val="Arial"/>
    </font>
    <font>
      <b/>
      <sz val="10"/>
      <color rgb="FF033B58"/>
      <name val="Arial"/>
    </font>
    <font>
      <sz val="10"/>
      <color theme="1"/>
      <name val="Helvetica Neue"/>
    </font>
    <font>
      <sz val="9"/>
      <color rgb="FF000000"/>
      <name val="Arial"/>
    </font>
    <font>
      <sz val="18"/>
      <color theme="1"/>
      <name val="Helvetica Neue"/>
    </font>
    <font>
      <sz val="8"/>
      <color theme="1"/>
      <name val="Arial"/>
    </font>
    <font>
      <b/>
      <sz val="18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rgb="FF30383B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22"/>
      <color rgb="FF30383B"/>
      <name val="Arial"/>
      <family val="2"/>
      <charset val="204"/>
    </font>
    <font>
      <sz val="18"/>
      <color theme="1"/>
      <name val="Arial"/>
      <family val="2"/>
      <charset val="204"/>
    </font>
    <font>
      <b/>
      <sz val="24"/>
      <color theme="9"/>
      <name val="Roboto"/>
      <charset val="204"/>
    </font>
    <font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D0E0E3"/>
        <bgColor rgb="FFD0E0E3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12BDAB"/>
        <bgColor rgb="FF12BDAB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73">
    <border>
      <left/>
      <right/>
      <top/>
      <bottom/>
      <diagonal/>
    </border>
    <border>
      <left/>
      <right/>
      <top/>
      <bottom/>
      <diagonal/>
    </border>
    <border>
      <left style="medium">
        <color rgb="FF12BDAB"/>
      </left>
      <right/>
      <top style="medium">
        <color rgb="FF12BDAB"/>
      </top>
      <bottom/>
      <diagonal/>
    </border>
    <border>
      <left/>
      <right/>
      <top style="medium">
        <color rgb="FF12BDAB"/>
      </top>
      <bottom/>
      <diagonal/>
    </border>
    <border>
      <left/>
      <right style="medium">
        <color rgb="FF12BDAB"/>
      </right>
      <top style="medium">
        <color rgb="FF12BDAB"/>
      </top>
      <bottom/>
      <diagonal/>
    </border>
    <border>
      <left style="medium">
        <color rgb="FF12BDAB"/>
      </left>
      <right/>
      <top/>
      <bottom/>
      <diagonal/>
    </border>
    <border>
      <left/>
      <right style="medium">
        <color rgb="FF12BDAB"/>
      </right>
      <top/>
      <bottom/>
      <diagonal/>
    </border>
    <border>
      <left/>
      <right/>
      <top/>
      <bottom style="medium">
        <color rgb="FF12BDAB"/>
      </bottom>
      <diagonal/>
    </border>
    <border>
      <left style="medium">
        <color rgb="FF12BDAB"/>
      </left>
      <right/>
      <top/>
      <bottom style="medium">
        <color rgb="FF12BDAB"/>
      </bottom>
      <diagonal/>
    </border>
    <border>
      <left/>
      <right style="medium">
        <color rgb="FF12BDAB"/>
      </right>
      <top/>
      <bottom style="medium">
        <color rgb="FF12BDAB"/>
      </bottom>
      <diagonal/>
    </border>
    <border>
      <left style="medium">
        <color rgb="FF12BDAB"/>
      </left>
      <right/>
      <top style="medium">
        <color rgb="FF12BDAB"/>
      </top>
      <bottom/>
      <diagonal/>
    </border>
    <border>
      <left/>
      <right/>
      <top style="medium">
        <color rgb="FF12BDAB"/>
      </top>
      <bottom/>
      <diagonal/>
    </border>
    <border>
      <left/>
      <right style="medium">
        <color rgb="FF12BDAB"/>
      </right>
      <top style="medium">
        <color rgb="FF12BDAB"/>
      </top>
      <bottom/>
      <diagonal/>
    </border>
    <border>
      <left style="medium">
        <color rgb="FF12BDAB"/>
      </left>
      <right/>
      <top/>
      <bottom/>
      <diagonal/>
    </border>
    <border>
      <left/>
      <right style="medium">
        <color rgb="FF12BDAB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12BDAB"/>
      </left>
      <right/>
      <top/>
      <bottom style="medium">
        <color rgb="FF12BDAB"/>
      </bottom>
      <diagonal/>
    </border>
    <border>
      <left/>
      <right/>
      <top/>
      <bottom style="medium">
        <color rgb="FF12BDAB"/>
      </bottom>
      <diagonal/>
    </border>
    <border>
      <left/>
      <right/>
      <top/>
      <bottom style="medium">
        <color rgb="FF12BDAB"/>
      </bottom>
      <diagonal/>
    </border>
    <border>
      <left/>
      <right/>
      <top/>
      <bottom style="medium">
        <color rgb="FF12BDAB"/>
      </bottom>
      <diagonal/>
    </border>
    <border>
      <left/>
      <right style="medium">
        <color rgb="FF12BDAB"/>
      </right>
      <top/>
      <bottom style="medium">
        <color rgb="FF12BDAB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12BDAB"/>
      </bottom>
      <diagonal/>
    </border>
    <border>
      <left style="medium">
        <color rgb="FF12BDAB"/>
      </left>
      <right/>
      <top style="medium">
        <color rgb="FF12BDAB"/>
      </top>
      <bottom/>
      <diagonal/>
    </border>
    <border>
      <left/>
      <right/>
      <top style="medium">
        <color rgb="FF12BDAB"/>
      </top>
      <bottom/>
      <diagonal/>
    </border>
    <border>
      <left/>
      <right/>
      <top style="medium">
        <color rgb="FF12BDAB"/>
      </top>
      <bottom/>
      <diagonal/>
    </border>
    <border>
      <left style="medium">
        <color rgb="FF30383B"/>
      </left>
      <right/>
      <top style="medium">
        <color rgb="FF30383B"/>
      </top>
      <bottom style="thin">
        <color rgb="FF000000"/>
      </bottom>
      <diagonal/>
    </border>
    <border>
      <left/>
      <right/>
      <top style="medium">
        <color rgb="FF30383B"/>
      </top>
      <bottom style="thin">
        <color rgb="FF000000"/>
      </bottom>
      <diagonal/>
    </border>
    <border>
      <left/>
      <right style="medium">
        <color rgb="FF30383B"/>
      </right>
      <top style="medium">
        <color rgb="FF30383B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30383B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30383B"/>
      </right>
      <top style="thin">
        <color rgb="FF000000"/>
      </top>
      <bottom/>
      <diagonal/>
    </border>
    <border>
      <left style="medium">
        <color rgb="FF30383B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30383B"/>
      </right>
      <top/>
      <bottom style="thin">
        <color rgb="FF000000"/>
      </bottom>
      <diagonal/>
    </border>
    <border>
      <left style="medium">
        <color rgb="FF30383B"/>
      </left>
      <right style="thin">
        <color rgb="FF000000"/>
      </right>
      <top/>
      <bottom style="medium">
        <color rgb="FF30383B"/>
      </bottom>
      <diagonal/>
    </border>
    <border>
      <left style="thin">
        <color rgb="FF000000"/>
      </left>
      <right/>
      <top/>
      <bottom style="medium">
        <color rgb="FF30383B"/>
      </bottom>
      <diagonal/>
    </border>
    <border>
      <left/>
      <right style="medium">
        <color rgb="FF30383B"/>
      </right>
      <top/>
      <bottom style="medium">
        <color rgb="FF30383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3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Alignment="1">
      <alignment horizontal="center"/>
    </xf>
    <xf numFmtId="0" fontId="1" fillId="0" borderId="6" xfId="0" applyFont="1" applyBorder="1"/>
    <xf numFmtId="0" fontId="1" fillId="3" borderId="1" xfId="0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wrapText="1"/>
    </xf>
    <xf numFmtId="0" fontId="4" fillId="0" borderId="7" xfId="0" applyFont="1" applyBorder="1"/>
    <xf numFmtId="0" fontId="1" fillId="0" borderId="7" xfId="0" applyFont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0" borderId="7" xfId="0" applyFont="1" applyBorder="1" applyAlignment="1">
      <alignment horizontal="center" wrapText="1"/>
    </xf>
    <xf numFmtId="3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8" xfId="0" applyFont="1" applyBorder="1"/>
    <xf numFmtId="0" fontId="1" fillId="0" borderId="7" xfId="0" applyFont="1" applyBorder="1"/>
    <xf numFmtId="0" fontId="1" fillId="0" borderId="9" xfId="0" applyFont="1" applyBorder="1"/>
    <xf numFmtId="3" fontId="5" fillId="4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/>
    <xf numFmtId="3" fontId="3" fillId="4" borderId="1" xfId="0" applyNumberFormat="1" applyFont="1" applyFill="1" applyBorder="1"/>
    <xf numFmtId="3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/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3" fontId="5" fillId="5" borderId="13" xfId="0" applyNumberFormat="1" applyFont="1" applyFill="1" applyBorder="1"/>
    <xf numFmtId="3" fontId="1" fillId="3" borderId="1" xfId="0" applyNumberFormat="1" applyFont="1" applyFill="1" applyBorder="1"/>
    <xf numFmtId="3" fontId="0" fillId="3" borderId="1" xfId="0" applyNumberFormat="1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3" fontId="0" fillId="0" borderId="15" xfId="0" applyNumberFormat="1" applyFont="1" applyBorder="1" applyAlignment="1">
      <alignment horizontal="center" vertical="center"/>
    </xf>
    <xf numFmtId="3" fontId="0" fillId="0" borderId="0" xfId="0" applyNumberFormat="1" applyFont="1" applyAlignment="1">
      <alignment horizontal="left" vertical="center"/>
    </xf>
    <xf numFmtId="3" fontId="0" fillId="0" borderId="0" xfId="0" applyNumberFormat="1" applyFont="1" applyAlignment="1">
      <alignment horizontal="center" vertical="center"/>
    </xf>
    <xf numFmtId="3" fontId="5" fillId="5" borderId="1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wrapText="1" readingOrder="1"/>
    </xf>
    <xf numFmtId="0" fontId="0" fillId="0" borderId="0" xfId="0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1" fillId="0" borderId="15" xfId="0" applyFont="1" applyBorder="1"/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center" vertical="center"/>
    </xf>
    <xf numFmtId="0" fontId="3" fillId="0" borderId="15" xfId="0" applyFont="1" applyBorder="1"/>
    <xf numFmtId="3" fontId="3" fillId="0" borderId="15" xfId="0" applyNumberFormat="1" applyFont="1" applyBorder="1" applyAlignment="1">
      <alignment horizontal="center" vertical="center"/>
    </xf>
    <xf numFmtId="3" fontId="5" fillId="5" borderId="16" xfId="0" applyNumberFormat="1" applyFont="1" applyFill="1" applyBorder="1"/>
    <xf numFmtId="3" fontId="5" fillId="5" borderId="20" xfId="0" applyNumberFormat="1" applyFont="1" applyFill="1" applyBorder="1" applyAlignment="1">
      <alignment horizontal="center" vertical="center"/>
    </xf>
    <xf numFmtId="3" fontId="0" fillId="4" borderId="1" xfId="0" applyNumberFormat="1" applyFont="1" applyFill="1" applyBorder="1"/>
    <xf numFmtId="3" fontId="0" fillId="4" borderId="1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1" fillId="5" borderId="11" xfId="0" applyFont="1" applyFill="1" applyBorder="1"/>
    <xf numFmtId="0" fontId="11" fillId="5" borderId="12" xfId="0" applyFont="1" applyFill="1" applyBorder="1"/>
    <xf numFmtId="0" fontId="10" fillId="5" borderId="1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wrapText="1"/>
    </xf>
    <xf numFmtId="0" fontId="10" fillId="5" borderId="14" xfId="0" applyFont="1" applyFill="1" applyBorder="1" applyAlignment="1">
      <alignment wrapText="1"/>
    </xf>
    <xf numFmtId="0" fontId="11" fillId="5" borderId="1" xfId="0" applyFont="1" applyFill="1" applyBorder="1"/>
    <xf numFmtId="0" fontId="11" fillId="5" borderId="14" xfId="0" applyFont="1" applyFill="1" applyBorder="1"/>
    <xf numFmtId="3" fontId="13" fillId="5" borderId="1" xfId="0" applyNumberFormat="1" applyFont="1" applyFill="1" applyBorder="1" applyAlignment="1">
      <alignment horizontal="center" vertical="center"/>
    </xf>
    <xf numFmtId="0" fontId="5" fillId="5" borderId="13" xfId="0" applyFont="1" applyFill="1" applyBorder="1"/>
    <xf numFmtId="0" fontId="14" fillId="0" borderId="7" xfId="0" applyFont="1" applyBorder="1"/>
    <xf numFmtId="0" fontId="14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6" borderId="30" xfId="0" applyFont="1" applyFill="1" applyBorder="1" applyAlignment="1">
      <alignment horizontal="center"/>
    </xf>
    <xf numFmtId="0" fontId="15" fillId="6" borderId="31" xfId="0" applyFont="1" applyFill="1" applyBorder="1" applyAlignment="1">
      <alignment horizontal="center"/>
    </xf>
    <xf numFmtId="0" fontId="5" fillId="5" borderId="14" xfId="0" applyFont="1" applyFill="1" applyBorder="1"/>
    <xf numFmtId="49" fontId="5" fillId="0" borderId="0" xfId="0" applyNumberFormat="1" applyFont="1"/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16" fillId="0" borderId="6" xfId="0" applyNumberFormat="1" applyFont="1" applyBorder="1" applyAlignment="1">
      <alignment horizontal="center"/>
    </xf>
    <xf numFmtId="3" fontId="16" fillId="7" borderId="32" xfId="0" applyNumberFormat="1" applyFont="1" applyFill="1" applyBorder="1" applyAlignment="1">
      <alignment horizontal="center"/>
    </xf>
    <xf numFmtId="3" fontId="16" fillId="7" borderId="33" xfId="0" applyNumberFormat="1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5" borderId="32" xfId="0" applyFont="1" applyFill="1" applyBorder="1" applyAlignment="1">
      <alignment horizontal="center"/>
    </xf>
    <xf numFmtId="0" fontId="17" fillId="5" borderId="33" xfId="0" applyFont="1" applyFill="1" applyBorder="1" applyAlignment="1">
      <alignment horizontal="center"/>
    </xf>
    <xf numFmtId="9" fontId="5" fillId="0" borderId="0" xfId="0" applyNumberFormat="1" applyFont="1"/>
    <xf numFmtId="9" fontId="5" fillId="0" borderId="0" xfId="0" applyNumberFormat="1" applyFont="1" applyAlignment="1">
      <alignment horizontal="center"/>
    </xf>
    <xf numFmtId="9" fontId="14" fillId="0" borderId="7" xfId="0" applyNumberFormat="1" applyFont="1" applyBorder="1"/>
    <xf numFmtId="9" fontId="14" fillId="0" borderId="7" xfId="0" applyNumberFormat="1" applyFont="1" applyBorder="1" applyAlignment="1">
      <alignment horizontal="center"/>
    </xf>
    <xf numFmtId="9" fontId="14" fillId="0" borderId="0" xfId="0" applyNumberFormat="1" applyFont="1" applyAlignment="1">
      <alignment horizontal="center"/>
    </xf>
    <xf numFmtId="0" fontId="5" fillId="0" borderId="0" xfId="0" applyFont="1"/>
    <xf numFmtId="0" fontId="17" fillId="5" borderId="30" xfId="0" applyFont="1" applyFill="1" applyBorder="1" applyAlignment="1">
      <alignment horizontal="center"/>
    </xf>
    <xf numFmtId="0" fontId="17" fillId="5" borderId="31" xfId="0" applyFont="1" applyFill="1" applyBorder="1" applyAlignment="1">
      <alignment horizontal="center"/>
    </xf>
    <xf numFmtId="3" fontId="15" fillId="0" borderId="6" xfId="0" applyNumberFormat="1" applyFont="1" applyBorder="1" applyAlignment="1">
      <alignment horizontal="center" vertical="center"/>
    </xf>
    <xf numFmtId="3" fontId="15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4" fillId="0" borderId="7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0" fontId="5" fillId="5" borderId="16" xfId="0" applyFont="1" applyFill="1" applyBorder="1"/>
    <xf numFmtId="0" fontId="5" fillId="5" borderId="35" xfId="0" applyFont="1" applyFill="1" applyBorder="1"/>
    <xf numFmtId="0" fontId="5" fillId="5" borderId="20" xfId="0" applyFont="1" applyFill="1" applyBorder="1"/>
    <xf numFmtId="0" fontId="5" fillId="2" borderId="1" xfId="0" applyFont="1" applyFill="1" applyBorder="1"/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4" fillId="5" borderId="14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165" fontId="14" fillId="0" borderId="6" xfId="0" applyNumberFormat="1" applyFont="1" applyBorder="1" applyAlignment="1">
      <alignment horizontal="center"/>
    </xf>
    <xf numFmtId="0" fontId="20" fillId="5" borderId="1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21" fillId="8" borderId="1" xfId="0" applyFont="1" applyFill="1" applyBorder="1" applyAlignment="1">
      <alignment horizontal="right"/>
    </xf>
    <xf numFmtId="3" fontId="1" fillId="8" borderId="1" xfId="0" applyNumberFormat="1" applyFont="1" applyFill="1" applyBorder="1" applyAlignment="1">
      <alignment horizontal="center" vertical="center"/>
    </xf>
    <xf numFmtId="3" fontId="1" fillId="9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 wrapText="1"/>
    </xf>
    <xf numFmtId="0" fontId="3" fillId="5" borderId="1" xfId="0" applyFont="1" applyFill="1" applyBorder="1" applyAlignment="1">
      <alignment vertical="center"/>
    </xf>
    <xf numFmtId="0" fontId="3" fillId="5" borderId="35" xfId="0" applyFont="1" applyFill="1" applyBorder="1" applyAlignment="1">
      <alignment vertical="center"/>
    </xf>
    <xf numFmtId="3" fontId="0" fillId="0" borderId="7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165" fontId="5" fillId="0" borderId="6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/>
    <xf numFmtId="0" fontId="23" fillId="5" borderId="1" xfId="0" applyFont="1" applyFill="1" applyBorder="1" applyAlignment="1">
      <alignment vertical="center" wrapText="1"/>
    </xf>
    <xf numFmtId="0" fontId="15" fillId="5" borderId="14" xfId="0" applyFont="1" applyFill="1" applyBorder="1" applyAlignment="1">
      <alignment horizontal="center"/>
    </xf>
    <xf numFmtId="0" fontId="1" fillId="0" borderId="31" xfId="0" applyFont="1" applyBorder="1"/>
    <xf numFmtId="3" fontId="8" fillId="5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24" fillId="5" borderId="1" xfId="0" applyFont="1" applyFill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25" fillId="0" borderId="0" xfId="0" applyFont="1"/>
    <xf numFmtId="49" fontId="0" fillId="0" borderId="0" xfId="0" applyNumberFormat="1" applyFont="1" applyAlignment="1">
      <alignment wrapText="1"/>
    </xf>
    <xf numFmtId="0" fontId="0" fillId="3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wrapText="1"/>
    </xf>
    <xf numFmtId="49" fontId="26" fillId="0" borderId="0" xfId="0" applyNumberFormat="1" applyFont="1" applyAlignment="1">
      <alignment horizontal="left" wrapText="1"/>
    </xf>
    <xf numFmtId="0" fontId="1" fillId="3" borderId="55" xfId="0" applyFont="1" applyFill="1" applyBorder="1" applyAlignment="1">
      <alignment horizontal="center"/>
    </xf>
    <xf numFmtId="9" fontId="1" fillId="3" borderId="56" xfId="0" applyNumberFormat="1" applyFont="1" applyFill="1" applyBorder="1" applyAlignment="1">
      <alignment horizontal="center"/>
    </xf>
    <xf numFmtId="3" fontId="1" fillId="3" borderId="56" xfId="0" applyNumberFormat="1" applyFont="1" applyFill="1" applyBorder="1" applyAlignment="1">
      <alignment horizontal="center"/>
    </xf>
    <xf numFmtId="10" fontId="1" fillId="3" borderId="57" xfId="0" applyNumberFormat="1" applyFont="1" applyFill="1" applyBorder="1"/>
    <xf numFmtId="0" fontId="25" fillId="0" borderId="0" xfId="0" applyFont="1" applyAlignment="1">
      <alignment horizontal="left"/>
    </xf>
    <xf numFmtId="0" fontId="1" fillId="3" borderId="58" xfId="0" applyFont="1" applyFill="1" applyBorder="1" applyAlignment="1">
      <alignment horizontal="center"/>
    </xf>
    <xf numFmtId="9" fontId="1" fillId="3" borderId="1" xfId="0" applyNumberFormat="1" applyFont="1" applyFill="1" applyBorder="1" applyAlignment="1">
      <alignment horizontal="center"/>
    </xf>
    <xf numFmtId="10" fontId="1" fillId="3" borderId="59" xfId="0" applyNumberFormat="1" applyFont="1" applyFill="1" applyBorder="1"/>
    <xf numFmtId="0" fontId="0" fillId="0" borderId="0" xfId="0" applyFont="1" applyAlignment="1">
      <alignment horizontal="center" wrapText="1"/>
    </xf>
    <xf numFmtId="0" fontId="1" fillId="3" borderId="60" xfId="0" applyFont="1" applyFill="1" applyBorder="1" applyAlignment="1">
      <alignment horizontal="center"/>
    </xf>
    <xf numFmtId="9" fontId="1" fillId="3" borderId="61" xfId="0" applyNumberFormat="1" applyFont="1" applyFill="1" applyBorder="1" applyAlignment="1">
      <alignment horizontal="center"/>
    </xf>
    <xf numFmtId="3" fontId="1" fillId="3" borderId="61" xfId="0" applyNumberFormat="1" applyFont="1" applyFill="1" applyBorder="1" applyAlignment="1">
      <alignment horizontal="center"/>
    </xf>
    <xf numFmtId="10" fontId="1" fillId="3" borderId="32" xfId="0" applyNumberFormat="1" applyFont="1" applyFill="1" applyBorder="1"/>
    <xf numFmtId="3" fontId="0" fillId="3" borderId="1" xfId="0" applyNumberFormat="1" applyFont="1" applyFill="1" applyBorder="1" applyAlignment="1">
      <alignment horizontal="center" wrapText="1"/>
    </xf>
    <xf numFmtId="0" fontId="1" fillId="0" borderId="54" xfId="0" applyFont="1" applyBorder="1" applyAlignment="1">
      <alignment horizontal="center"/>
    </xf>
    <xf numFmtId="0" fontId="1" fillId="0" borderId="54" xfId="0" applyFont="1" applyBorder="1"/>
    <xf numFmtId="3" fontId="0" fillId="0" borderId="0" xfId="0" applyNumberFormat="1" applyFont="1" applyAlignment="1">
      <alignment horizontal="center" wrapText="1"/>
    </xf>
    <xf numFmtId="9" fontId="1" fillId="3" borderId="31" xfId="0" applyNumberFormat="1" applyFont="1" applyFill="1" applyBorder="1"/>
    <xf numFmtId="0" fontId="1" fillId="0" borderId="31" xfId="0" applyFont="1" applyBorder="1" applyAlignment="1">
      <alignment horizontal="center"/>
    </xf>
    <xf numFmtId="9" fontId="1" fillId="0" borderId="31" xfId="0" applyNumberFormat="1" applyFont="1" applyBorder="1" applyAlignment="1">
      <alignment horizontal="center"/>
    </xf>
    <xf numFmtId="3" fontId="1" fillId="0" borderId="31" xfId="0" applyNumberFormat="1" applyFont="1" applyBorder="1" applyAlignment="1">
      <alignment horizontal="center"/>
    </xf>
    <xf numFmtId="10" fontId="1" fillId="0" borderId="31" xfId="0" applyNumberFormat="1" applyFont="1" applyBorder="1" applyAlignment="1">
      <alignment horizontal="center"/>
    </xf>
    <xf numFmtId="9" fontId="0" fillId="0" borderId="0" xfId="0" applyNumberFormat="1" applyFont="1" applyAlignment="1">
      <alignment horizontal="center" wrapText="1"/>
    </xf>
    <xf numFmtId="0" fontId="27" fillId="0" borderId="0" xfId="0" applyFont="1" applyAlignment="1">
      <alignment horizontal="center" vertical="center"/>
    </xf>
    <xf numFmtId="0" fontId="1" fillId="0" borderId="31" xfId="0" applyFont="1" applyBorder="1" applyAlignment="1">
      <alignment wrapText="1"/>
    </xf>
    <xf numFmtId="9" fontId="1" fillId="0" borderId="31" xfId="0" applyNumberFormat="1" applyFont="1" applyBorder="1"/>
    <xf numFmtId="0" fontId="28" fillId="0" borderId="0" xfId="0" applyFont="1" applyAlignment="1">
      <alignment wrapText="1"/>
    </xf>
    <xf numFmtId="0" fontId="5" fillId="9" borderId="31" xfId="0" applyFont="1" applyFill="1" applyBorder="1" applyAlignment="1">
      <alignment horizontal="center"/>
    </xf>
    <xf numFmtId="49" fontId="26" fillId="0" borderId="0" xfId="0" applyNumberFormat="1" applyFont="1" applyAlignment="1">
      <alignment horizontal="center" wrapText="1"/>
    </xf>
    <xf numFmtId="3" fontId="1" fillId="3" borderId="31" xfId="0" applyNumberFormat="1" applyFont="1" applyFill="1" applyBorder="1" applyAlignment="1">
      <alignment horizontal="center"/>
    </xf>
    <xf numFmtId="10" fontId="1" fillId="3" borderId="1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 applyAlignment="1"/>
    <xf numFmtId="49" fontId="30" fillId="0" borderId="0" xfId="0" applyNumberFormat="1" applyFont="1" applyAlignment="1">
      <alignment horizontal="left" wrapText="1"/>
    </xf>
    <xf numFmtId="49" fontId="31" fillId="0" borderId="0" xfId="0" applyNumberFormat="1" applyFont="1" applyAlignment="1">
      <alignment wrapText="1"/>
    </xf>
    <xf numFmtId="0" fontId="1" fillId="0" borderId="13" xfId="0" applyFont="1" applyBorder="1"/>
    <xf numFmtId="0" fontId="0" fillId="0" borderId="29" xfId="0" applyFont="1" applyBorder="1"/>
    <xf numFmtId="3" fontId="1" fillId="3" borderId="29" xfId="0" applyNumberFormat="1" applyFont="1" applyFill="1" applyBorder="1" applyAlignment="1">
      <alignment horizontal="center"/>
    </xf>
    <xf numFmtId="9" fontId="1" fillId="3" borderId="29" xfId="0" applyNumberFormat="1" applyFont="1" applyFill="1" applyBorder="1"/>
    <xf numFmtId="0" fontId="1" fillId="0" borderId="14" xfId="0" applyFont="1" applyBorder="1"/>
    <xf numFmtId="1" fontId="1" fillId="3" borderId="29" xfId="0" applyNumberFormat="1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0" fontId="32" fillId="0" borderId="0" xfId="0" applyFont="1"/>
    <xf numFmtId="0" fontId="32" fillId="0" borderId="31" xfId="0" applyFont="1" applyBorder="1"/>
    <xf numFmtId="0" fontId="32" fillId="3" borderId="31" xfId="0" applyFont="1" applyFill="1" applyBorder="1"/>
    <xf numFmtId="0" fontId="32" fillId="3" borderId="31" xfId="0" applyFont="1" applyFill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3" fillId="0" borderId="7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center" vertical="center" wrapText="1"/>
    </xf>
    <xf numFmtId="3" fontId="32" fillId="0" borderId="0" xfId="0" applyNumberFormat="1" applyFont="1" applyAlignment="1">
      <alignment wrapText="1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center"/>
    </xf>
    <xf numFmtId="166" fontId="1" fillId="3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34" fillId="0" borderId="7" xfId="0" applyFont="1" applyBorder="1"/>
    <xf numFmtId="0" fontId="31" fillId="0" borderId="31" xfId="0" applyFont="1" applyBorder="1" applyAlignment="1">
      <alignment horizontal="left"/>
    </xf>
    <xf numFmtId="0" fontId="35" fillId="0" borderId="0" xfId="0" applyFont="1" applyAlignment="1"/>
    <xf numFmtId="3" fontId="31" fillId="0" borderId="15" xfId="0" applyNumberFormat="1" applyFont="1" applyBorder="1" applyAlignment="1">
      <alignment horizontal="left" vertical="center"/>
    </xf>
    <xf numFmtId="0" fontId="36" fillId="3" borderId="1" xfId="0" applyFont="1" applyFill="1" applyBorder="1" applyAlignment="1">
      <alignment horizontal="left" vertical="center" wrapText="1"/>
    </xf>
    <xf numFmtId="3" fontId="34" fillId="3" borderId="1" xfId="0" applyNumberFormat="1" applyFont="1" applyFill="1" applyBorder="1"/>
    <xf numFmtId="3" fontId="33" fillId="3" borderId="1" xfId="0" applyNumberFormat="1" applyFont="1" applyFill="1" applyBorder="1" applyAlignment="1">
      <alignment horizontal="center"/>
    </xf>
    <xf numFmtId="0" fontId="31" fillId="0" borderId="0" xfId="0" applyFont="1" applyAlignment="1">
      <alignment horizontal="left" wrapText="1" readingOrder="1"/>
    </xf>
    <xf numFmtId="0" fontId="37" fillId="0" borderId="0" xfId="1"/>
    <xf numFmtId="0" fontId="37" fillId="0" borderId="0" xfId="1" applyAlignment="1">
      <alignment horizontal="left" wrapText="1" readingOrder="1"/>
    </xf>
    <xf numFmtId="3" fontId="31" fillId="0" borderId="0" xfId="0" applyNumberFormat="1" applyFont="1" applyAlignment="1">
      <alignment horizontal="left" vertical="center"/>
    </xf>
    <xf numFmtId="3" fontId="33" fillId="0" borderId="15" xfId="0" applyNumberFormat="1" applyFont="1" applyBorder="1" applyAlignment="1">
      <alignment horizontal="center" vertical="center"/>
    </xf>
    <xf numFmtId="3" fontId="34" fillId="0" borderId="15" xfId="0" applyNumberFormat="1" applyFont="1" applyBorder="1" applyAlignment="1">
      <alignment horizontal="center" vertical="center"/>
    </xf>
    <xf numFmtId="3" fontId="33" fillId="3" borderId="1" xfId="0" applyNumberFormat="1" applyFont="1" applyFill="1" applyBorder="1" applyAlignment="1">
      <alignment horizontal="left" vertical="center"/>
    </xf>
    <xf numFmtId="0" fontId="33" fillId="0" borderId="15" xfId="0" applyFont="1" applyBorder="1" applyAlignment="1">
      <alignment horizontal="left"/>
    </xf>
    <xf numFmtId="0" fontId="2" fillId="0" borderId="3" xfId="0" applyFont="1" applyBorder="1"/>
    <xf numFmtId="0" fontId="2" fillId="0" borderId="7" xfId="0" applyFont="1" applyBorder="1"/>
    <xf numFmtId="0" fontId="0" fillId="0" borderId="0" xfId="0" applyFont="1" applyAlignment="1"/>
    <xf numFmtId="3" fontId="0" fillId="0" borderId="0" xfId="0" applyNumberFormat="1" applyFont="1" applyAlignment="1">
      <alignment horizontal="center" vertical="center"/>
    </xf>
    <xf numFmtId="3" fontId="8" fillId="5" borderId="17" xfId="0" applyNumberFormat="1" applyFont="1" applyFill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3" fontId="9" fillId="4" borderId="21" xfId="0" applyNumberFormat="1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0" fontId="10" fillId="5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12" fillId="5" borderId="21" xfId="0" applyFont="1" applyFill="1" applyBorder="1" applyAlignment="1">
      <alignment horizontal="center" vertical="center" wrapText="1"/>
    </xf>
    <xf numFmtId="0" fontId="2" fillId="0" borderId="37" xfId="0" applyFont="1" applyBorder="1"/>
    <xf numFmtId="0" fontId="2" fillId="0" borderId="38" xfId="0" applyFont="1" applyBorder="1"/>
    <xf numFmtId="0" fontId="19" fillId="3" borderId="39" xfId="0" applyFont="1" applyFill="1" applyBorder="1" applyAlignment="1">
      <alignment horizontal="center"/>
    </xf>
    <xf numFmtId="0" fontId="2" fillId="0" borderId="40" xfId="0" applyFont="1" applyBorder="1"/>
    <xf numFmtId="0" fontId="2" fillId="0" borderId="41" xfId="0" applyFont="1" applyBorder="1"/>
    <xf numFmtId="0" fontId="2" fillId="0" borderId="43" xfId="0" applyFont="1" applyBorder="1"/>
    <xf numFmtId="0" fontId="2" fillId="0" borderId="34" xfId="0" applyFont="1" applyBorder="1"/>
    <xf numFmtId="0" fontId="19" fillId="5" borderId="44" xfId="0" applyFont="1" applyFill="1" applyBorder="1" applyAlignment="1">
      <alignment horizontal="left" vertical="center"/>
    </xf>
    <xf numFmtId="0" fontId="2" fillId="0" borderId="47" xfId="0" applyFont="1" applyBorder="1"/>
    <xf numFmtId="3" fontId="19" fillId="5" borderId="45" xfId="0" applyNumberFormat="1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48" xfId="0" applyFont="1" applyBorder="1"/>
    <xf numFmtId="0" fontId="2" fillId="0" borderId="49" xfId="0" applyFont="1" applyBorder="1"/>
    <xf numFmtId="0" fontId="24" fillId="5" borderId="24" xfId="0" applyFont="1" applyFill="1" applyBorder="1" applyAlignment="1">
      <alignment horizontal="center" vertical="center"/>
    </xf>
    <xf numFmtId="0" fontId="23" fillId="5" borderId="21" xfId="0" applyFont="1" applyFill="1" applyBorder="1" applyAlignment="1">
      <alignment horizontal="left" vertical="center" wrapText="1"/>
    </xf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29" fillId="0" borderId="0" xfId="0" applyFont="1" applyAlignment="1">
      <alignment horizontal="center" vertical="center"/>
    </xf>
    <xf numFmtId="0" fontId="1" fillId="0" borderId="53" xfId="0" applyFont="1" applyBorder="1" applyAlignment="1">
      <alignment horizontal="center" vertical="center" wrapText="1"/>
    </xf>
    <xf numFmtId="0" fontId="2" fillId="0" borderId="54" xfId="0" applyFont="1" applyBorder="1"/>
    <xf numFmtId="0" fontId="1" fillId="0" borderId="7" xfId="0" applyFont="1" applyBorder="1" applyAlignment="1">
      <alignment horizontal="center"/>
    </xf>
    <xf numFmtId="0" fontId="1" fillId="0" borderId="42" xfId="0" applyFont="1" applyBorder="1"/>
    <xf numFmtId="0" fontId="1" fillId="0" borderId="42" xfId="0" applyFont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2" fillId="0" borderId="63" xfId="0" applyFont="1" applyBorder="1" applyAlignment="1"/>
    <xf numFmtId="0" fontId="0" fillId="0" borderId="64" xfId="0" applyFont="1" applyBorder="1" applyAlignment="1"/>
    <xf numFmtId="3" fontId="1" fillId="0" borderId="65" xfId="0" applyNumberFormat="1" applyFont="1" applyBorder="1" applyAlignment="1">
      <alignment horizontal="center" wrapText="1"/>
    </xf>
    <xf numFmtId="10" fontId="0" fillId="9" borderId="66" xfId="0" applyNumberFormat="1" applyFont="1" applyFill="1" applyBorder="1" applyAlignment="1">
      <alignment horizontal="center"/>
    </xf>
    <xf numFmtId="0" fontId="32" fillId="0" borderId="67" xfId="0" applyFont="1" applyBorder="1" applyAlignment="1">
      <alignment horizontal="left"/>
    </xf>
    <xf numFmtId="0" fontId="32" fillId="0" borderId="68" xfId="0" applyFont="1" applyBorder="1" applyAlignment="1">
      <alignment horizontal="left"/>
    </xf>
    <xf numFmtId="0" fontId="32" fillId="0" borderId="69" xfId="0" applyFont="1" applyBorder="1" applyAlignment="1">
      <alignment horizontal="left"/>
    </xf>
    <xf numFmtId="0" fontId="1" fillId="0" borderId="68" xfId="0" applyFont="1" applyBorder="1" applyAlignment="1">
      <alignment horizontal="left"/>
    </xf>
    <xf numFmtId="0" fontId="1" fillId="0" borderId="69" xfId="0" applyFont="1" applyBorder="1" applyAlignment="1">
      <alignment horizontal="left"/>
    </xf>
    <xf numFmtId="0" fontId="0" fillId="9" borderId="71" xfId="0" applyFont="1" applyFill="1" applyBorder="1" applyAlignment="1">
      <alignment horizontal="left"/>
    </xf>
    <xf numFmtId="0" fontId="0" fillId="9" borderId="72" xfId="0" applyFont="1" applyFill="1" applyBorder="1" applyAlignment="1">
      <alignment horizontal="left"/>
    </xf>
    <xf numFmtId="0" fontId="31" fillId="9" borderId="70" xfId="0" applyFont="1" applyFill="1" applyBorder="1" applyAlignment="1">
      <alignment horizontal="left"/>
    </xf>
    <xf numFmtId="0" fontId="38" fillId="5" borderId="36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/>
    </xf>
    <xf numFmtId="0" fontId="40" fillId="0" borderId="0" xfId="0" applyFont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0" fontId="32" fillId="0" borderId="53" xfId="0" applyFont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3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000000"/>
                </a:solidFill>
                <a:latin typeface="+mn-lt"/>
              </a:defRPr>
            </a:pPr>
            <a:r>
              <a:rPr lang="en-US" sz="1200" b="0" i="0">
                <a:solidFill>
                  <a:srgbClr val="000000"/>
                </a:solidFill>
                <a:latin typeface="+mn-lt"/>
              </a:rPr>
              <a:t>Profit</a:t>
            </a:r>
            <a:r>
              <a:rPr lang="en-US" sz="1200" b="0" i="0" baseline="0">
                <a:solidFill>
                  <a:srgbClr val="000000"/>
                </a:solidFill>
                <a:latin typeface="+mn-lt"/>
              </a:rPr>
              <a:t> and payback for 2 years, USD</a:t>
            </a:r>
            <a:endParaRPr lang="ru-RU" sz="1200" b="0" i="0">
              <a:solidFill>
                <a:srgbClr val="000000"/>
              </a:solidFill>
              <a:latin typeface="+mn-lt"/>
            </a:endParaRPr>
          </a:p>
        </c:rich>
      </c:tx>
      <c:layout/>
      <c:overlay val="0"/>
    </c:title>
    <c:autoTitleDeleted val="0"/>
    <c:plotArea>
      <c:layout>
        <c:manualLayout>
          <c:xMode val="edge"/>
          <c:yMode val="edge"/>
          <c:x val="6.4009661835748799E-2"/>
          <c:y val="0.33633093525179852"/>
          <c:w val="0.9024154589371981"/>
          <c:h val="0.6079136690647482"/>
        </c:manualLayout>
      </c:layout>
      <c:areaChart>
        <c:grouping val="standard"/>
        <c:varyColors val="1"/>
        <c:ser>
          <c:idx val="0"/>
          <c:order val="0"/>
          <c:tx>
            <c:v>Pay-back</c:v>
          </c:tx>
          <c:spPr>
            <a:solidFill>
              <a:srgbClr val="4285F4">
                <a:alpha val="30000"/>
              </a:srgbClr>
            </a:solidFill>
            <a:ln cmpd="sng">
              <a:solidFill>
                <a:srgbClr val="4285F4"/>
              </a:solidFill>
            </a:ln>
          </c:spPr>
          <c:val>
            <c:numRef>
              <c:f>'Profit, breakeven point'!$D$29:$AA$29</c:f>
              <c:numCache>
                <c:formatCode>#,##0</c:formatCode>
                <c:ptCount val="24"/>
                <c:pt idx="0">
                  <c:v>-9971.98</c:v>
                </c:pt>
                <c:pt idx="1">
                  <c:v>-6304.51</c:v>
                </c:pt>
                <c:pt idx="2">
                  <c:v>-905.59000000000015</c:v>
                </c:pt>
                <c:pt idx="3">
                  <c:v>6124.78</c:v>
                </c:pt>
                <c:pt idx="4">
                  <c:v>14986.599999999999</c:v>
                </c:pt>
                <c:pt idx="5">
                  <c:v>25429.87</c:v>
                </c:pt>
                <c:pt idx="6">
                  <c:v>37754.589999999997</c:v>
                </c:pt>
                <c:pt idx="7">
                  <c:v>51710.759999999995</c:v>
                </c:pt>
                <c:pt idx="8">
                  <c:v>67498.37999999999</c:v>
                </c:pt>
                <c:pt idx="9">
                  <c:v>85017.449999999983</c:v>
                </c:pt>
                <c:pt idx="10">
                  <c:v>104267.96999999997</c:v>
                </c:pt>
                <c:pt idx="11">
                  <c:v>123268.48999999998</c:v>
                </c:pt>
                <c:pt idx="12">
                  <c:v>143411.55545454542</c:v>
                </c:pt>
                <c:pt idx="13">
                  <c:v>164447.16636363632</c:v>
                </c:pt>
                <c:pt idx="14">
                  <c:v>186390.52272727268</c:v>
                </c:pt>
                <c:pt idx="15">
                  <c:v>209126.4245454545</c:v>
                </c:pt>
                <c:pt idx="16">
                  <c:v>232870.07181818178</c:v>
                </c:pt>
                <c:pt idx="17">
                  <c:v>257356.2645454545</c:v>
                </c:pt>
                <c:pt idx="18">
                  <c:v>282900.2027272727</c:v>
                </c:pt>
                <c:pt idx="19">
                  <c:v>309236.68636363634</c:v>
                </c:pt>
                <c:pt idx="20">
                  <c:v>336580.91545454541</c:v>
                </c:pt>
                <c:pt idx="21">
                  <c:v>364817.68999999994</c:v>
                </c:pt>
                <c:pt idx="22">
                  <c:v>393962.20999999996</c:v>
                </c:pt>
                <c:pt idx="23">
                  <c:v>422856.73</c:v>
                </c:pt>
              </c:numCache>
            </c:numRef>
          </c:val>
        </c:ser>
        <c:ser>
          <c:idx val="1"/>
          <c:order val="1"/>
          <c:tx>
            <c:v>Profit</c:v>
          </c:tx>
          <c:spPr>
            <a:solidFill>
              <a:srgbClr val="EA4335">
                <a:alpha val="30000"/>
              </a:srgbClr>
            </a:solidFill>
            <a:ln cmpd="sng">
              <a:solidFill>
                <a:srgbClr val="EA4335"/>
              </a:solidFill>
            </a:ln>
          </c:spPr>
          <c:val>
            <c:numRef>
              <c:f>'Profit, breakeven point'!$D$26:$AA$26</c:f>
              <c:numCache>
                <c:formatCode>#,##0</c:formatCode>
                <c:ptCount val="24"/>
                <c:pt idx="0">
                  <c:v>1936.02</c:v>
                </c:pt>
                <c:pt idx="1">
                  <c:v>3667.47</c:v>
                </c:pt>
                <c:pt idx="2">
                  <c:v>5398.92</c:v>
                </c:pt>
                <c:pt idx="3">
                  <c:v>7030.37</c:v>
                </c:pt>
                <c:pt idx="4">
                  <c:v>8861.82</c:v>
                </c:pt>
                <c:pt idx="5">
                  <c:v>10443.27</c:v>
                </c:pt>
                <c:pt idx="6">
                  <c:v>12324.72</c:v>
                </c:pt>
                <c:pt idx="7">
                  <c:v>13956.17</c:v>
                </c:pt>
                <c:pt idx="8">
                  <c:v>15787.619999999999</c:v>
                </c:pt>
                <c:pt idx="9">
                  <c:v>17519.07</c:v>
                </c:pt>
                <c:pt idx="10">
                  <c:v>19250.519999999997</c:v>
                </c:pt>
                <c:pt idx="11">
                  <c:v>19000.52</c:v>
                </c:pt>
                <c:pt idx="12">
                  <c:v>20143.065454545453</c:v>
                </c:pt>
                <c:pt idx="13">
                  <c:v>21035.610909090909</c:v>
                </c:pt>
                <c:pt idx="14">
                  <c:v>21943.356363636361</c:v>
                </c:pt>
                <c:pt idx="15">
                  <c:v>22735.901818181817</c:v>
                </c:pt>
                <c:pt idx="16">
                  <c:v>23743.64727272727</c:v>
                </c:pt>
                <c:pt idx="17">
                  <c:v>24486.192727272726</c:v>
                </c:pt>
                <c:pt idx="18">
                  <c:v>25543.938181818183</c:v>
                </c:pt>
                <c:pt idx="19">
                  <c:v>26336.483636363635</c:v>
                </c:pt>
                <c:pt idx="20">
                  <c:v>27344.229090909092</c:v>
                </c:pt>
                <c:pt idx="21">
                  <c:v>28236.774545454544</c:v>
                </c:pt>
                <c:pt idx="22">
                  <c:v>29144.52</c:v>
                </c:pt>
                <c:pt idx="23">
                  <c:v>28894.52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17728"/>
        <c:axId val="83760192"/>
      </c:areaChart>
      <c:catAx>
        <c:axId val="10061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760192"/>
        <c:crosses val="autoZero"/>
        <c:auto val="1"/>
        <c:lblAlgn val="ctr"/>
        <c:lblOffset val="100"/>
        <c:noMultiLvlLbl val="1"/>
      </c:catAx>
      <c:valAx>
        <c:axId val="837601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06177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3739941927548911"/>
          <c:y val="0.42743294538381893"/>
          <c:w val="0.18595001711742554"/>
          <c:h val="0.1812826384749715"/>
        </c:manualLayout>
      </c:layout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104775</xdr:colOff>
      <xdr:row>12</xdr:row>
      <xdr:rowOff>76200</xdr:rowOff>
    </xdr:from>
    <xdr:ext cx="3943350" cy="2390775"/>
    <xdr:graphicFrame macro="">
      <xdr:nvGraphicFramePr>
        <xdr:cNvPr id="78461861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193531</xdr:colOff>
      <xdr:row>1</xdr:row>
      <xdr:rowOff>38100</xdr:rowOff>
    </xdr:from>
    <xdr:ext cx="4066049" cy="12382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271" y="236220"/>
          <a:ext cx="4066049" cy="12382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</xdr:colOff>
      <xdr:row>1</xdr:row>
      <xdr:rowOff>76200</xdr:rowOff>
    </xdr:from>
    <xdr:ext cx="4066049" cy="12382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" y="274320"/>
          <a:ext cx="4066049" cy="12382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259080</xdr:colOff>
      <xdr:row>1</xdr:row>
      <xdr:rowOff>198120</xdr:rowOff>
    </xdr:from>
    <xdr:ext cx="4066049" cy="12382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" y="289560"/>
          <a:ext cx="4066049" cy="12382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53340</xdr:colOff>
      <xdr:row>0</xdr:row>
      <xdr:rowOff>190500</xdr:rowOff>
    </xdr:from>
    <xdr:ext cx="4066049" cy="12382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" y="190500"/>
          <a:ext cx="4066049" cy="1238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laserwar.us/index.php/equipment-shop/laser-tag-equipment-for-sale-usa/devices/digitalflag-detail" TargetMode="External"/><Relationship Id="rId1" Type="http://schemas.openxmlformats.org/officeDocument/2006/relationships/hyperlink" Target="http://laserwar.us/index.php/equipment-shop/laser-tag-equipment-for-sale-usa/laser-tag-sets/starlasertagset-detai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BDAB"/>
    <outlinePr summaryBelow="0" summaryRight="0"/>
  </sheetPr>
  <dimension ref="A1:AB1000"/>
  <sheetViews>
    <sheetView showGridLines="0" tabSelected="1" topLeftCell="B1" workbookViewId="0">
      <selection activeCell="D18" sqref="D18"/>
    </sheetView>
  </sheetViews>
  <sheetFormatPr defaultColWidth="14.44140625" defaultRowHeight="15" customHeight="1"/>
  <cols>
    <col min="1" max="2" width="3" customWidth="1"/>
    <col min="3" max="3" width="42.109375" customWidth="1"/>
    <col min="4" max="4" width="18.33203125" customWidth="1"/>
    <col min="5" max="5" width="77.88671875" customWidth="1"/>
    <col min="6" max="6" width="3.6640625" customWidth="1"/>
    <col min="7" max="7" width="41.109375" customWidth="1"/>
    <col min="9" max="10" width="3" customWidth="1"/>
    <col min="11" max="28" width="14.44140625" hidden="1" customWidth="1"/>
  </cols>
  <sheetData>
    <row r="1" spans="1:28" ht="15.75" customHeight="1">
      <c r="A1" s="1"/>
      <c r="B1" s="1"/>
      <c r="C1" s="1"/>
      <c r="D1" s="1"/>
      <c r="E1" s="2"/>
      <c r="F1" s="2"/>
      <c r="G1" s="2"/>
      <c r="H1" s="2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97.5" customHeight="1">
      <c r="A2" s="1"/>
      <c r="B2" s="4"/>
      <c r="C2" s="5"/>
      <c r="D2" s="5"/>
      <c r="E2" s="267" t="s">
        <v>139</v>
      </c>
      <c r="F2" s="210"/>
      <c r="G2" s="210"/>
      <c r="H2" s="210"/>
      <c r="I2" s="6"/>
      <c r="J2" s="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 customHeight="1">
      <c r="A3" s="1"/>
      <c r="B3" s="7"/>
      <c r="C3" s="3"/>
      <c r="D3" s="3"/>
      <c r="E3" s="8"/>
      <c r="F3" s="8"/>
      <c r="G3" s="8"/>
      <c r="H3" s="8"/>
      <c r="I3" s="9"/>
      <c r="J3" s="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 customHeight="1">
      <c r="A4" s="1"/>
      <c r="B4" s="7"/>
      <c r="C4" s="188" t="s">
        <v>61</v>
      </c>
      <c r="D4" s="189" t="s">
        <v>65</v>
      </c>
      <c r="E4" s="189" t="s">
        <v>66</v>
      </c>
      <c r="F4" s="3"/>
      <c r="G4" s="268" t="s">
        <v>140</v>
      </c>
      <c r="H4" s="211"/>
      <c r="I4" s="9"/>
      <c r="J4" s="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 customHeight="1">
      <c r="A5" s="1"/>
      <c r="B5" s="7"/>
      <c r="C5" s="183" t="s">
        <v>63</v>
      </c>
      <c r="D5" s="10" t="s">
        <v>8</v>
      </c>
      <c r="E5" s="183" t="s">
        <v>64</v>
      </c>
      <c r="F5" s="3"/>
      <c r="G5" s="183" t="s">
        <v>141</v>
      </c>
      <c r="H5" s="11">
        <f>AVERAGE('Profit, breakeven point'!D4:AA4)</f>
        <v>27220.833333333332</v>
      </c>
      <c r="I5" s="9"/>
      <c r="J5" s="1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5.75" customHeight="1">
      <c r="A6" s="1"/>
      <c r="B6" s="7"/>
      <c r="C6" s="3"/>
      <c r="D6" s="11"/>
      <c r="E6" s="12"/>
      <c r="F6" s="3"/>
      <c r="G6" s="3" t="str">
        <f>'Profit, breakeven point'!C35</f>
        <v>Average net profit for 2 years, $/month</v>
      </c>
      <c r="H6" s="11">
        <f>'Profit, breakeven point'!D35</f>
        <v>18115.197083333333</v>
      </c>
      <c r="I6" s="9"/>
      <c r="J6" s="1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5.75" customHeight="1">
      <c r="A7" s="1"/>
      <c r="B7" s="7"/>
      <c r="C7" s="13" t="s">
        <v>67</v>
      </c>
      <c r="D7" s="14"/>
      <c r="E7" s="14"/>
      <c r="F7" s="3"/>
      <c r="G7" s="3" t="str">
        <f>'Profit, breakeven point'!C37</f>
        <v>Break even point month</v>
      </c>
      <c r="H7" s="11">
        <f>'Profit, breakeven point'!D37</f>
        <v>1</v>
      </c>
      <c r="I7" s="9"/>
      <c r="J7" s="1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customHeight="1">
      <c r="A8" s="1"/>
      <c r="B8" s="7"/>
      <c r="C8" s="183" t="s">
        <v>68</v>
      </c>
      <c r="D8" s="19">
        <v>0</v>
      </c>
      <c r="E8" s="190" t="s">
        <v>71</v>
      </c>
      <c r="F8" s="3"/>
      <c r="G8" s="3" t="str">
        <f>'Profit, breakeven point'!C39</f>
        <v>Payback period, month.</v>
      </c>
      <c r="H8" s="11">
        <f>'Profit, breakeven point'!D39</f>
        <v>4</v>
      </c>
      <c r="I8" s="9"/>
      <c r="J8" s="1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1"/>
      <c r="B9" s="7"/>
      <c r="C9" s="183" t="s">
        <v>69</v>
      </c>
      <c r="D9" s="15">
        <v>1</v>
      </c>
      <c r="E9" s="190" t="s">
        <v>15</v>
      </c>
      <c r="F9" s="3"/>
      <c r="G9" s="183" t="s">
        <v>142</v>
      </c>
      <c r="H9" s="16">
        <f>H6/H5</f>
        <v>0.66549017296800861</v>
      </c>
      <c r="I9" s="9"/>
      <c r="J9" s="1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5.75" customHeight="1">
      <c r="A10" s="1"/>
      <c r="B10" s="7"/>
      <c r="C10" s="183" t="s">
        <v>70</v>
      </c>
      <c r="D10" s="270">
        <f>D8*D9</f>
        <v>0</v>
      </c>
      <c r="E10" s="191" t="s">
        <v>72</v>
      </c>
      <c r="F10" s="3"/>
      <c r="G10" s="3"/>
      <c r="H10" s="3"/>
      <c r="I10" s="9"/>
      <c r="J10" s="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5.75" customHeight="1">
      <c r="A11" s="1"/>
      <c r="B11" s="7"/>
      <c r="C11" s="3"/>
      <c r="D11" s="11"/>
      <c r="E11" s="17"/>
      <c r="F11" s="3"/>
      <c r="G11" s="269" t="s">
        <v>143</v>
      </c>
      <c r="H11" s="212"/>
      <c r="I11" s="9"/>
      <c r="J11" s="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5.75" customHeight="1">
      <c r="A12" s="1"/>
      <c r="B12" s="7"/>
      <c r="C12" s="195" t="s">
        <v>76</v>
      </c>
      <c r="D12" s="18"/>
      <c r="E12" s="18"/>
      <c r="F12" s="3"/>
      <c r="G12" s="212"/>
      <c r="H12" s="212"/>
      <c r="I12" s="9"/>
      <c r="J12" s="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5.75" customHeight="1">
      <c r="A13" s="1"/>
      <c r="B13" s="7"/>
      <c r="C13" s="191" t="s">
        <v>74</v>
      </c>
      <c r="D13" s="193">
        <v>0.13</v>
      </c>
      <c r="E13" s="190" t="s">
        <v>75</v>
      </c>
      <c r="F13" s="3"/>
      <c r="G13" s="3"/>
      <c r="H13" s="3"/>
      <c r="I13" s="9"/>
      <c r="J13" s="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5.75" customHeight="1">
      <c r="A14" s="1"/>
      <c r="B14" s="7"/>
      <c r="C14" s="191" t="s">
        <v>73</v>
      </c>
      <c r="D14" s="194">
        <f>'Tech sheet'!D8*4</f>
        <v>96</v>
      </c>
      <c r="E14" s="190" t="s">
        <v>78</v>
      </c>
      <c r="F14" s="3"/>
      <c r="G14" s="3"/>
      <c r="H14" s="3"/>
      <c r="I14" s="9"/>
      <c r="J14" s="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5.75" customHeight="1">
      <c r="A15" s="1"/>
      <c r="B15" s="7"/>
      <c r="C15" s="191" t="s">
        <v>77</v>
      </c>
      <c r="D15" s="11">
        <f>D13*D14</f>
        <v>12.48</v>
      </c>
      <c r="E15" s="17"/>
      <c r="F15" s="3"/>
      <c r="G15" s="3"/>
      <c r="H15" s="3"/>
      <c r="I15" s="9"/>
      <c r="J15" s="1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5.75" customHeight="1">
      <c r="A16" s="1"/>
      <c r="B16" s="7"/>
      <c r="C16" s="17"/>
      <c r="D16" s="11"/>
      <c r="E16" s="12"/>
      <c r="F16" s="3"/>
      <c r="G16" s="3"/>
      <c r="H16" s="3"/>
      <c r="I16" s="9"/>
      <c r="J16" s="1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5.75" customHeight="1">
      <c r="A17" s="1"/>
      <c r="B17" s="7"/>
      <c r="C17" s="195" t="s">
        <v>79</v>
      </c>
      <c r="D17" s="18"/>
      <c r="E17" s="18"/>
      <c r="F17" s="3"/>
      <c r="G17" s="3"/>
      <c r="H17" s="3"/>
      <c r="I17" s="9"/>
      <c r="J17" s="1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5.75" customHeight="1">
      <c r="A18" s="1"/>
      <c r="B18" s="7"/>
      <c r="C18" s="191" t="s">
        <v>80</v>
      </c>
      <c r="D18" s="272" t="s">
        <v>10</v>
      </c>
      <c r="E18" s="190" t="s">
        <v>81</v>
      </c>
      <c r="F18" s="3"/>
      <c r="G18" s="3"/>
      <c r="H18" s="3"/>
      <c r="I18" s="9"/>
      <c r="J18" s="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5.75" customHeight="1">
      <c r="A19" s="1"/>
      <c r="B19" s="7"/>
      <c r="C19" s="183" t="s">
        <v>82</v>
      </c>
      <c r="D19" s="192" t="s">
        <v>11</v>
      </c>
      <c r="E19" s="190" t="s">
        <v>83</v>
      </c>
      <c r="F19" s="3"/>
      <c r="G19" s="3"/>
      <c r="H19" s="3"/>
      <c r="I19" s="9"/>
      <c r="J19" s="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5.75" customHeight="1">
      <c r="A20" s="1"/>
      <c r="B20" s="7"/>
      <c r="C20" s="3"/>
      <c r="D20" s="3"/>
      <c r="E20" s="3"/>
      <c r="F20" s="3"/>
      <c r="G20" s="3"/>
      <c r="H20" s="3"/>
      <c r="I20" s="9"/>
      <c r="J20" s="1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5.75" customHeight="1">
      <c r="A21" s="1"/>
      <c r="B21" s="7"/>
      <c r="C21" s="195" t="s">
        <v>84</v>
      </c>
      <c r="D21" s="14"/>
      <c r="E21" s="14"/>
      <c r="F21" s="3"/>
      <c r="G21" s="3"/>
      <c r="H21" s="3"/>
      <c r="I21" s="9"/>
      <c r="J21" s="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5.75" customHeight="1">
      <c r="A22" s="1"/>
      <c r="B22" s="7"/>
      <c r="C22" s="183" t="s">
        <v>85</v>
      </c>
      <c r="D22" s="8">
        <v>0</v>
      </c>
      <c r="E22" s="183" t="s">
        <v>85</v>
      </c>
      <c r="F22" s="3"/>
      <c r="G22" s="3"/>
      <c r="H22" s="3"/>
      <c r="I22" s="9"/>
      <c r="J22" s="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5.75" customHeight="1">
      <c r="A23" s="1"/>
      <c r="B23" s="7"/>
      <c r="C23" s="183" t="str">
        <f>'Tech sheet'!G32</f>
        <v>Sales manager</v>
      </c>
      <c r="D23" s="10">
        <v>0</v>
      </c>
      <c r="E23" s="3" t="s">
        <v>86</v>
      </c>
      <c r="F23" s="3"/>
      <c r="G23" s="3"/>
      <c r="H23" s="3"/>
      <c r="I23" s="9"/>
      <c r="J23" s="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5.75" customHeight="1">
      <c r="A24" s="1"/>
      <c r="B24" s="7"/>
      <c r="C24" s="183" t="str">
        <f>'Tech sheet'!G30</f>
        <v>Reception manager</v>
      </c>
      <c r="D24" s="20">
        <v>0</v>
      </c>
      <c r="E24" s="183" t="s">
        <v>87</v>
      </c>
      <c r="F24" s="3"/>
      <c r="G24" s="3"/>
      <c r="H24" s="3"/>
      <c r="I24" s="9"/>
      <c r="J24" s="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5.75" customHeight="1">
      <c r="A25" s="1"/>
      <c r="B25" s="7"/>
      <c r="C25" s="3" t="str">
        <f>'Tech sheet'!G31</f>
        <v>Technician</v>
      </c>
      <c r="D25" s="20">
        <v>0</v>
      </c>
      <c r="E25" s="183" t="s">
        <v>88</v>
      </c>
      <c r="F25" s="3"/>
      <c r="G25" s="3"/>
      <c r="H25" s="3"/>
      <c r="I25" s="9"/>
      <c r="J25" s="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15.75" customHeight="1">
      <c r="A26" s="1"/>
      <c r="B26" s="21"/>
      <c r="C26" s="22"/>
      <c r="D26" s="22"/>
      <c r="E26" s="22"/>
      <c r="F26" s="22"/>
      <c r="G26" s="22"/>
      <c r="H26" s="22"/>
      <c r="I26" s="23"/>
      <c r="J26" s="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5.75" hidden="1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5.75" hidden="1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5.75" hidden="1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5.75" hidden="1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5.75" hidden="1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5.75" hidden="1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5.75" hidden="1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5.75" hidden="1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5.75" hidden="1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5.75" hidden="1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5.75" hidden="1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5.75" hidden="1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5.75" hidden="1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5.75" hidden="1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5.75" hidden="1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5.75" hidden="1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5.75" hidden="1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5.75" hidden="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5.75" hidden="1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5.75" hidden="1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5.75" hidden="1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5.75" hidden="1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5.75" hidden="1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5.75" hidden="1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5.75" hidden="1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5.75" hidden="1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5.75" hidden="1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5.75" hidden="1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5.75" hidden="1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5.75" hidden="1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5.75" hidden="1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5.75" hidden="1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5.75" hidden="1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5.75" hidden="1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5.75" hidden="1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5.75" hidden="1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5.75" hidden="1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5.75" hidden="1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5.75" hidden="1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5.75" hidden="1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5.75" hidden="1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5.75" hidden="1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5.75" hidden="1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5.75" hidden="1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5.75" hidden="1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5.75" hidden="1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5.75" hidden="1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5.75" hidden="1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5.75" hidden="1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5.75" hidden="1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5.75" hidden="1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5.75" hidden="1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5.75" hidden="1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5.75" hidden="1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5.75" hidden="1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5.75" hidden="1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5.75" hidden="1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5.75" hidden="1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5.75" hidden="1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5.75" hidden="1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5.75" hidden="1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5.75" hidden="1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5.75" hidden="1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5.75" hidden="1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5.75" hidden="1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5.75" hidden="1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5.75" hidden="1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5.75" hidden="1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5.75" hidden="1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5.75" hidden="1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5.75" hidden="1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5.75" hidden="1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5.75" hidden="1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5.75" hidden="1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5.75" hidden="1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5.75" hidden="1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5.75" hidden="1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5.75" hidden="1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5.75" hidden="1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5.75" hidden="1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5.75" hidden="1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5.75" hidden="1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5.75" hidden="1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5.75" hidden="1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5.75" hidden="1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5.75" hidden="1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5.75" hidden="1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5.75" hidden="1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5.75" hidden="1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5.75" hidden="1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5.75" hidden="1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5.75" hidden="1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5.75" hidden="1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5.75" hidden="1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5.75" hidden="1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5.75" hidden="1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5.75" hidden="1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5.75" hidden="1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5.75" hidden="1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5.75" hidden="1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5.75" hidden="1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5.75" hidden="1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5.75" hidden="1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5.75" hidden="1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5.75" hidden="1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5.75" hidden="1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5.75" hidden="1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5.75" hidden="1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5.75" hidden="1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5.75" hidden="1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5.75" hidden="1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5.75" hidden="1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5.75" hidden="1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5.75" hidden="1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5.75" hidden="1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5.75" hidden="1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5.75" hidden="1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5.75" hidden="1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5.75" hidden="1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5.75" hidden="1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5.75" hidden="1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5.75" hidden="1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5.75" hidden="1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5.75" hidden="1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5.75" hidden="1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5.75" hidden="1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5.75" hidden="1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5.75" hidden="1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5.75" hidden="1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5.75" hidden="1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5.75" hidden="1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5.75" hidden="1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5.75" hidden="1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5.75" hidden="1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5.75" hidden="1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5.75" hidden="1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5.75" hidden="1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5.75" hidden="1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5.75" hidden="1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5.75" hidden="1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5.75" hidden="1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5.75" hidden="1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5.75" hidden="1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5.75" hidden="1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5.75" hidden="1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5.75" hidden="1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5.75" hidden="1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5.75" hidden="1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5.75" hidden="1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5.75" hidden="1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5.75" hidden="1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5.75" hidden="1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5.75" hidden="1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5.75" hidden="1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5.75" hidden="1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5.75" hidden="1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5.75" hidden="1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5.75" hidden="1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5.75" hidden="1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5.75" hidden="1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5.75" hidden="1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5.75" hidden="1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5.75" hidden="1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5.75" hidden="1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5.75" hidden="1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5.75" hidden="1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5.75" hidden="1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5.75" hidden="1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5.75" hidden="1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5.75" hidden="1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5.75" hidden="1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5.75" hidden="1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5.75" hidden="1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5.75" hidden="1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5.75" hidden="1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5.75" hidden="1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5.75" hidden="1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5.75" hidden="1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5.75" hidden="1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5.75" hidden="1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5.75" hidden="1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5.75" hidden="1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5.75" hidden="1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5.75" hidden="1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5.75" hidden="1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5.75" hidden="1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5.75" hidden="1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5.75" hidden="1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5.75" hidden="1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5.75" hidden="1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5.75" hidden="1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5.75" hidden="1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5.75" hidden="1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5.75" hidden="1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5.75" hidden="1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5.75" hidden="1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5.75" hidden="1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5.75" hidden="1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5.75" customHeight="1"/>
    <row r="227" spans="1:28" ht="15.75" customHeight="1">
      <c r="C227" s="197"/>
    </row>
    <row r="228" spans="1:28" ht="15.75" customHeight="1"/>
    <row r="229" spans="1:28" ht="15.75" customHeight="1"/>
    <row r="230" spans="1:28" ht="15.75" customHeight="1"/>
    <row r="231" spans="1:28" ht="15.75" customHeight="1"/>
    <row r="232" spans="1:28" ht="15.75" customHeight="1"/>
    <row r="233" spans="1:28" ht="15.75" customHeight="1"/>
    <row r="234" spans="1:28" ht="15.75" customHeight="1"/>
    <row r="235" spans="1:28" ht="15.75" customHeight="1"/>
    <row r="236" spans="1:28" ht="15.75" customHeight="1"/>
    <row r="237" spans="1:28" ht="15.75" customHeight="1"/>
    <row r="238" spans="1:28" ht="15.75" customHeight="1"/>
    <row r="239" spans="1:28" ht="15.75" customHeight="1"/>
    <row r="240" spans="1:28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E2:H2"/>
    <mergeCell ref="G4:H4"/>
    <mergeCell ref="G11:H12"/>
  </mergeCells>
  <pageMargins left="0.7" right="0.7" top="0.75" bottom="0.75" header="0" footer="0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>
          <x14:formula1>
            <xm:f>'Tech sheet'!$G$8:$G$10</xm:f>
          </x14:formula1>
          <xm:sqref>D5</xm:sqref>
        </x14:dataValidation>
        <x14:dataValidation type="list" allowBlank="1">
          <x14:formula1>
            <xm:f>'Tech sheet'!$G$21:$G$22</xm:f>
          </x14:formula1>
          <xm:sqref>D18</xm:sqref>
        </x14:dataValidation>
        <x14:dataValidation type="list" allowBlank="1">
          <x14:formula1>
            <xm:f>'Tech sheet'!$H$25:$H$27</xm:f>
          </x14:formula1>
          <xm:sqref>D24:D25</xm:sqref>
        </x14:dataValidation>
        <x14:dataValidation type="list" allowBlank="1">
          <x14:formula1>
            <xm:f>'Tech sheet'!$H$25:$H$26</xm:f>
          </x14:formula1>
          <xm:sqref>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BDAB"/>
  </sheetPr>
  <dimension ref="A1:Z992"/>
  <sheetViews>
    <sheetView showGridLines="0" topLeftCell="A4" workbookViewId="0">
      <selection activeCell="D7" sqref="D7"/>
    </sheetView>
  </sheetViews>
  <sheetFormatPr defaultColWidth="14.44140625" defaultRowHeight="15" customHeight="1"/>
  <cols>
    <col min="1" max="1" width="2.6640625" customWidth="1"/>
    <col min="2" max="2" width="4.109375" customWidth="1"/>
    <col min="3" max="3" width="71.5546875" customWidth="1"/>
    <col min="4" max="5" width="17.33203125" customWidth="1"/>
    <col min="6" max="6" width="17" customWidth="1"/>
    <col min="7" max="7" width="4.109375" customWidth="1"/>
    <col min="8" max="8" width="3.33203125" customWidth="1"/>
    <col min="9" max="26" width="11.5546875" hidden="1" customWidth="1"/>
  </cols>
  <sheetData>
    <row r="1" spans="1:26" ht="15.75" customHeight="1">
      <c r="A1" s="24"/>
      <c r="B1" s="25"/>
      <c r="C1" s="26"/>
      <c r="D1" s="27"/>
      <c r="E1" s="27"/>
      <c r="F1" s="27"/>
      <c r="G1" s="28"/>
      <c r="H1" s="29"/>
      <c r="I1" s="29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96.75" customHeight="1">
      <c r="A2" s="25"/>
      <c r="B2" s="30"/>
      <c r="C2" s="31"/>
      <c r="D2" s="31"/>
      <c r="E2" s="31"/>
      <c r="F2" s="31"/>
      <c r="G2" s="32"/>
      <c r="H2" s="29"/>
      <c r="I2" s="29"/>
      <c r="J2" s="29"/>
      <c r="K2" s="29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15.75" customHeight="1">
      <c r="A3" s="25"/>
      <c r="B3" s="33"/>
      <c r="C3" s="34"/>
      <c r="D3" s="34"/>
      <c r="E3" s="34"/>
      <c r="F3" s="34"/>
      <c r="G3" s="35"/>
      <c r="H3" s="29"/>
      <c r="I3" s="29"/>
      <c r="J3" s="29"/>
      <c r="K3" s="29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5.75" customHeight="1">
      <c r="A4" s="25"/>
      <c r="B4" s="36"/>
      <c r="C4" s="199" t="s">
        <v>92</v>
      </c>
      <c r="D4" s="200" t="s">
        <v>89</v>
      </c>
      <c r="E4" s="201" t="s">
        <v>90</v>
      </c>
      <c r="F4" s="201" t="s">
        <v>91</v>
      </c>
      <c r="G4" s="39"/>
      <c r="H4" s="29"/>
      <c r="I4" s="29"/>
      <c r="J4" s="29"/>
      <c r="K4" s="29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15.75" customHeight="1">
      <c r="A5" s="25"/>
      <c r="B5" s="36"/>
      <c r="C5" s="203" t="s">
        <v>93</v>
      </c>
      <c r="D5" s="44">
        <v>2</v>
      </c>
      <c r="E5" s="44">
        <v>4592</v>
      </c>
      <c r="F5" s="42">
        <f>E5*D5</f>
        <v>9184</v>
      </c>
      <c r="G5" s="9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15.75" customHeight="1">
      <c r="A6" s="25"/>
      <c r="B6" s="36"/>
      <c r="C6" s="204" t="s">
        <v>95</v>
      </c>
      <c r="D6" s="44">
        <v>3</v>
      </c>
      <c r="E6" s="44">
        <v>270</v>
      </c>
      <c r="F6" s="42">
        <f>E6*D6</f>
        <v>810</v>
      </c>
      <c r="G6" s="9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5.75" customHeight="1">
      <c r="A7" s="25"/>
      <c r="B7" s="36"/>
      <c r="C7" s="202" t="s">
        <v>94</v>
      </c>
      <c r="D7" s="45">
        <v>1</v>
      </c>
      <c r="E7" s="42"/>
      <c r="F7" s="42">
        <f>E7*D7</f>
        <v>0</v>
      </c>
      <c r="G7" s="9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15.75" customHeight="1">
      <c r="A8" s="25"/>
      <c r="B8" s="36"/>
      <c r="C8" s="202" t="s">
        <v>94</v>
      </c>
      <c r="D8" s="42">
        <v>1</v>
      </c>
      <c r="E8" s="45"/>
      <c r="F8" s="42">
        <f>E8*D8</f>
        <v>0</v>
      </c>
      <c r="G8" s="9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15.75" customHeight="1">
      <c r="A9" s="25"/>
      <c r="B9" s="36"/>
      <c r="C9" s="198" t="s">
        <v>96</v>
      </c>
      <c r="D9" s="40"/>
      <c r="E9" s="40"/>
      <c r="F9" s="206">
        <f>SUM(F5:F8)</f>
        <v>9994</v>
      </c>
      <c r="G9" s="43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15.75" customHeight="1">
      <c r="A10" s="25"/>
      <c r="B10" s="36"/>
      <c r="C10" s="41"/>
      <c r="D10" s="42"/>
      <c r="E10" s="42"/>
      <c r="F10" s="42"/>
      <c r="G10" s="43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15.75" customHeight="1">
      <c r="A11" s="25"/>
      <c r="B11" s="36"/>
      <c r="C11" s="208" t="s">
        <v>97</v>
      </c>
      <c r="D11" s="200" t="s">
        <v>89</v>
      </c>
      <c r="E11" s="201" t="s">
        <v>90</v>
      </c>
      <c r="F11" s="201" t="s">
        <v>91</v>
      </c>
      <c r="G11" s="43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5.75" customHeight="1">
      <c r="A12" s="25"/>
      <c r="B12" s="36"/>
      <c r="C12" s="205" t="s">
        <v>98</v>
      </c>
      <c r="D12" s="42">
        <v>1</v>
      </c>
      <c r="E12" s="42">
        <v>750</v>
      </c>
      <c r="F12" s="46">
        <f>D12*E12</f>
        <v>750</v>
      </c>
      <c r="G12" s="43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5.75" customHeight="1">
      <c r="A13" s="25"/>
      <c r="B13" s="36"/>
      <c r="C13" s="205" t="s">
        <v>99</v>
      </c>
      <c r="D13" s="42">
        <v>1</v>
      </c>
      <c r="E13" s="42">
        <v>109</v>
      </c>
      <c r="F13" s="46">
        <f>D13*E13</f>
        <v>109</v>
      </c>
      <c r="G13" s="43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15.75" customHeight="1">
      <c r="A14" s="25"/>
      <c r="B14" s="36"/>
      <c r="C14" s="205" t="s">
        <v>100</v>
      </c>
      <c r="D14" s="42">
        <v>1</v>
      </c>
      <c r="E14" s="42">
        <v>60</v>
      </c>
      <c r="F14" s="46">
        <f>D14*E14</f>
        <v>60</v>
      </c>
      <c r="G14" s="4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5.75" customHeight="1">
      <c r="A15" s="25"/>
      <c r="B15" s="36"/>
      <c r="C15" s="198" t="s">
        <v>96</v>
      </c>
      <c r="D15" s="40"/>
      <c r="E15" s="40"/>
      <c r="F15" s="207">
        <f>SUM(F12:F14)</f>
        <v>919</v>
      </c>
      <c r="G15" s="43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5.75" customHeight="1">
      <c r="A16" s="25"/>
      <c r="B16" s="36"/>
      <c r="C16" s="41"/>
      <c r="D16" s="213"/>
      <c r="E16" s="212"/>
      <c r="F16" s="212"/>
      <c r="G16" s="43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5.75" customHeight="1">
      <c r="A17" s="25"/>
      <c r="B17" s="36"/>
      <c r="C17" s="208" t="s">
        <v>101</v>
      </c>
      <c r="D17" s="37" t="s">
        <v>0</v>
      </c>
      <c r="E17" s="38" t="s">
        <v>1</v>
      </c>
      <c r="F17" s="38" t="s">
        <v>2</v>
      </c>
      <c r="G17" s="4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5.75" customHeight="1">
      <c r="A18" s="25"/>
      <c r="B18" s="36"/>
      <c r="C18" s="182" t="s">
        <v>102</v>
      </c>
      <c r="D18" s="46">
        <v>1</v>
      </c>
      <c r="E18" s="46">
        <v>200</v>
      </c>
      <c r="F18" s="42">
        <f>E18*D18</f>
        <v>200</v>
      </c>
      <c r="G18" s="9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5.75" customHeight="1">
      <c r="A19" s="25"/>
      <c r="B19" s="36"/>
      <c r="C19" s="182" t="s">
        <v>103</v>
      </c>
      <c r="D19" s="42">
        <v>1</v>
      </c>
      <c r="E19" s="46">
        <f>Options!D10</f>
        <v>0</v>
      </c>
      <c r="F19" s="42">
        <f>E19*D19</f>
        <v>0</v>
      </c>
      <c r="G19" s="9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5.75" customHeight="1">
      <c r="A20" s="25"/>
      <c r="B20" s="36"/>
      <c r="C20" s="198" t="s">
        <v>96</v>
      </c>
      <c r="D20" s="40"/>
      <c r="E20" s="40"/>
      <c r="F20" s="40">
        <f>SUM(F18:F19)</f>
        <v>200</v>
      </c>
      <c r="G20" s="43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5.75" customHeight="1">
      <c r="A21" s="25"/>
      <c r="B21" s="36"/>
      <c r="C21" s="41"/>
      <c r="D21" s="42"/>
      <c r="E21" s="42"/>
      <c r="F21" s="42"/>
      <c r="G21" s="43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5.75" customHeight="1">
      <c r="A22" s="25"/>
      <c r="B22" s="36"/>
      <c r="C22" s="198" t="s">
        <v>104</v>
      </c>
      <c r="D22" s="47"/>
      <c r="E22" s="40"/>
      <c r="F22" s="40">
        <v>795</v>
      </c>
      <c r="G22" s="4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5.75" customHeight="1">
      <c r="A23" s="25"/>
      <c r="B23" s="36"/>
      <c r="C23" s="48"/>
      <c r="D23" s="49"/>
      <c r="E23" s="49"/>
      <c r="F23" s="49"/>
      <c r="G23" s="43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5.75" customHeight="1">
      <c r="A24" s="25"/>
      <c r="B24" s="36"/>
      <c r="C24" s="209" t="s">
        <v>105</v>
      </c>
      <c r="D24" s="50"/>
      <c r="E24" s="51"/>
      <c r="F24" s="51">
        <f>F9+F15+F20+F22</f>
        <v>11908</v>
      </c>
      <c r="G24" s="43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5.75" customHeight="1">
      <c r="A25" s="25"/>
      <c r="B25" s="52"/>
      <c r="C25" s="214"/>
      <c r="D25" s="215"/>
      <c r="E25" s="215"/>
      <c r="F25" s="216"/>
      <c r="G25" s="53"/>
      <c r="H25" s="29"/>
      <c r="I25" s="29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5.75" customHeight="1">
      <c r="A26" s="25"/>
      <c r="B26" s="25"/>
      <c r="C26" s="54"/>
      <c r="D26" s="55"/>
      <c r="E26" s="55"/>
      <c r="F26" s="55"/>
      <c r="G26" s="28"/>
      <c r="H26" s="29"/>
      <c r="I26" s="29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15.75" hidden="1" customHeight="1">
      <c r="A27" s="25"/>
      <c r="B27" s="25"/>
      <c r="C27" s="54"/>
      <c r="D27" s="55"/>
      <c r="E27" s="55"/>
      <c r="F27" s="55"/>
      <c r="G27" s="28"/>
      <c r="H27" s="29"/>
      <c r="I27" s="29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5.75" hidden="1" customHeight="1">
      <c r="A28" s="25"/>
      <c r="B28" s="25"/>
      <c r="C28" s="54"/>
      <c r="D28" s="55"/>
      <c r="E28" s="55"/>
      <c r="F28" s="55"/>
      <c r="G28" s="28"/>
      <c r="H28" s="29"/>
      <c r="I28" s="29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5.75" hidden="1" customHeight="1">
      <c r="A29" s="25"/>
      <c r="B29" s="25"/>
      <c r="C29" s="54"/>
      <c r="D29" s="55"/>
      <c r="E29" s="55"/>
      <c r="F29" s="55"/>
      <c r="G29" s="28"/>
      <c r="H29" s="29"/>
      <c r="I29" s="29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5.75" hidden="1" customHeight="1">
      <c r="A30" s="25"/>
      <c r="B30" s="25"/>
      <c r="C30" s="54"/>
      <c r="D30" s="55"/>
      <c r="E30" s="55"/>
      <c r="F30" s="55"/>
      <c r="G30" s="28"/>
      <c r="H30" s="29"/>
      <c r="I30" s="29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.75" hidden="1" customHeight="1">
      <c r="A31" s="25"/>
      <c r="B31" s="25"/>
      <c r="C31" s="54"/>
      <c r="D31" s="55"/>
      <c r="E31" s="55"/>
      <c r="F31" s="55"/>
      <c r="G31" s="28"/>
      <c r="H31" s="29"/>
      <c r="I31" s="29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5.75" hidden="1" customHeight="1">
      <c r="A32" s="25"/>
      <c r="B32" s="25"/>
      <c r="C32" s="54"/>
      <c r="D32" s="55"/>
      <c r="E32" s="55"/>
      <c r="F32" s="55"/>
      <c r="G32" s="28"/>
      <c r="H32" s="29"/>
      <c r="I32" s="29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15.75" hidden="1" customHeight="1">
      <c r="A33" s="25"/>
      <c r="B33" s="25"/>
      <c r="C33" s="54"/>
      <c r="D33" s="55"/>
      <c r="E33" s="55"/>
      <c r="F33" s="55"/>
      <c r="G33" s="28"/>
      <c r="H33" s="29"/>
      <c r="I33" s="29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15.75" hidden="1" customHeight="1">
      <c r="A34" s="25"/>
      <c r="B34" s="25"/>
      <c r="C34" s="54"/>
      <c r="D34" s="55"/>
      <c r="E34" s="55"/>
      <c r="F34" s="55"/>
      <c r="G34" s="28"/>
      <c r="H34" s="29"/>
      <c r="I34" s="29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5.75" hidden="1" customHeight="1">
      <c r="A35" s="25"/>
      <c r="B35" s="25"/>
      <c r="C35" s="54"/>
      <c r="D35" s="55"/>
      <c r="E35" s="217" t="e">
        <f>IF(#REF!=150,400000,IF(#REF!=200,500000,IF(#REF!=250,600000,IF(#REF!&gt;250,700000,0))))</f>
        <v>#REF!</v>
      </c>
      <c r="F35" s="218"/>
      <c r="G35" s="219"/>
      <c r="H35" s="29"/>
      <c r="I35" s="29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.75" hidden="1" customHeight="1">
      <c r="A36" s="25"/>
      <c r="B36" s="25"/>
      <c r="C36" s="54"/>
      <c r="D36" s="55"/>
      <c r="E36" s="55"/>
      <c r="F36" s="55"/>
      <c r="G36" s="28"/>
      <c r="H36" s="29"/>
      <c r="I36" s="29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15.75" hidden="1" customHeight="1">
      <c r="A37" s="25"/>
      <c r="B37" s="25"/>
      <c r="C37" s="54"/>
      <c r="D37" s="55"/>
      <c r="E37" s="55"/>
      <c r="F37" s="55"/>
      <c r="G37" s="28"/>
      <c r="H37" s="29"/>
      <c r="I37" s="29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5.75" hidden="1" customHeight="1">
      <c r="A38" s="25"/>
      <c r="B38" s="25"/>
      <c r="C38" s="54"/>
      <c r="D38" s="55"/>
      <c r="E38" s="55"/>
      <c r="F38" s="55"/>
      <c r="G38" s="28"/>
      <c r="H38" s="29"/>
      <c r="I38" s="29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5.75" hidden="1" customHeight="1">
      <c r="A39" s="25"/>
      <c r="B39" s="25"/>
      <c r="C39" s="54"/>
      <c r="D39" s="55"/>
      <c r="E39" s="55"/>
      <c r="F39" s="55"/>
      <c r="G39" s="28"/>
      <c r="H39" s="29"/>
      <c r="I39" s="29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5.75" hidden="1" customHeight="1">
      <c r="A40" s="25"/>
      <c r="B40" s="25"/>
      <c r="C40" s="54"/>
      <c r="D40" s="55"/>
      <c r="E40" s="55"/>
      <c r="F40" s="55"/>
      <c r="G40" s="28"/>
      <c r="H40" s="29"/>
      <c r="I40" s="29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hidden="1" customHeight="1">
      <c r="A41" s="25"/>
      <c r="B41" s="25"/>
      <c r="C41" s="54"/>
      <c r="D41" s="55"/>
      <c r="E41" s="55"/>
      <c r="F41" s="55"/>
      <c r="G41" s="28"/>
      <c r="H41" s="29"/>
      <c r="I41" s="29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hidden="1" customHeight="1">
      <c r="A42" s="25"/>
      <c r="B42" s="25"/>
      <c r="C42" s="54"/>
      <c r="D42" s="55"/>
      <c r="E42" s="55"/>
      <c r="F42" s="55"/>
      <c r="G42" s="28"/>
      <c r="H42" s="29"/>
      <c r="I42" s="29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hidden="1" customHeight="1">
      <c r="A43" s="25"/>
      <c r="B43" s="25"/>
      <c r="C43" s="54"/>
      <c r="D43" s="55"/>
      <c r="E43" s="55"/>
      <c r="F43" s="55"/>
      <c r="G43" s="28"/>
      <c r="H43" s="29"/>
      <c r="I43" s="29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5.75" hidden="1" customHeight="1">
      <c r="A44" s="25"/>
      <c r="B44" s="25"/>
      <c r="C44" s="54"/>
      <c r="D44" s="55"/>
      <c r="E44" s="55"/>
      <c r="F44" s="55"/>
      <c r="G44" s="28"/>
      <c r="H44" s="29"/>
      <c r="I44" s="29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5.75" hidden="1" customHeight="1">
      <c r="A45" s="25"/>
      <c r="B45" s="25"/>
      <c r="C45" s="54"/>
      <c r="D45" s="55"/>
      <c r="E45" s="55"/>
      <c r="F45" s="55"/>
      <c r="G45" s="28"/>
      <c r="H45" s="29"/>
      <c r="I45" s="29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5.75" hidden="1" customHeight="1">
      <c r="A46" s="25"/>
      <c r="B46" s="25"/>
      <c r="C46" s="54"/>
      <c r="D46" s="55"/>
      <c r="E46" s="55"/>
      <c r="F46" s="55"/>
      <c r="G46" s="28"/>
      <c r="H46" s="29"/>
      <c r="I46" s="29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5.75" hidden="1" customHeight="1">
      <c r="A47" s="25"/>
      <c r="B47" s="25"/>
      <c r="C47" s="54"/>
      <c r="D47" s="55"/>
      <c r="E47" s="55"/>
      <c r="F47" s="55"/>
      <c r="G47" s="28"/>
      <c r="H47" s="29"/>
      <c r="I47" s="29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5.75" hidden="1" customHeight="1">
      <c r="A48" s="25"/>
      <c r="B48" s="25"/>
      <c r="C48" s="54"/>
      <c r="D48" s="55"/>
      <c r="E48" s="55"/>
      <c r="F48" s="55"/>
      <c r="G48" s="28"/>
      <c r="H48" s="29"/>
      <c r="I48" s="29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5.75" hidden="1" customHeight="1">
      <c r="A49" s="25"/>
      <c r="B49" s="25"/>
      <c r="C49" s="54"/>
      <c r="D49" s="55"/>
      <c r="E49" s="55"/>
      <c r="F49" s="55"/>
      <c r="G49" s="28"/>
      <c r="H49" s="29"/>
      <c r="I49" s="29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5.75" hidden="1" customHeight="1">
      <c r="A50" s="25"/>
      <c r="B50" s="25"/>
      <c r="C50" s="54"/>
      <c r="D50" s="55"/>
      <c r="E50" s="55"/>
      <c r="F50" s="55"/>
      <c r="G50" s="28"/>
      <c r="H50" s="29"/>
      <c r="I50" s="29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5.75" hidden="1" customHeight="1">
      <c r="A51" s="25"/>
      <c r="B51" s="25"/>
      <c r="C51" s="54"/>
      <c r="D51" s="55"/>
      <c r="E51" s="55"/>
      <c r="F51" s="55"/>
      <c r="G51" s="28"/>
      <c r="H51" s="29"/>
      <c r="I51" s="29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5.75" hidden="1" customHeight="1">
      <c r="A52" s="25"/>
      <c r="B52" s="25"/>
      <c r="C52" s="54"/>
      <c r="D52" s="55"/>
      <c r="E52" s="55"/>
      <c r="F52" s="55"/>
      <c r="G52" s="28"/>
      <c r="H52" s="29"/>
      <c r="I52" s="29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5.75" hidden="1" customHeight="1">
      <c r="A53" s="25"/>
      <c r="B53" s="25"/>
      <c r="C53" s="54"/>
      <c r="D53" s="55"/>
      <c r="E53" s="55"/>
      <c r="F53" s="55"/>
      <c r="G53" s="28"/>
      <c r="H53" s="29"/>
      <c r="I53" s="29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5.75" hidden="1" customHeight="1">
      <c r="A54" s="25"/>
      <c r="B54" s="25"/>
      <c r="C54" s="54"/>
      <c r="D54" s="55"/>
      <c r="E54" s="55"/>
      <c r="F54" s="55"/>
      <c r="G54" s="28"/>
      <c r="H54" s="29"/>
      <c r="I54" s="29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5.75" hidden="1" customHeight="1">
      <c r="A55" s="25"/>
      <c r="B55" s="25"/>
      <c r="C55" s="54"/>
      <c r="D55" s="55"/>
      <c r="E55" s="55"/>
      <c r="F55" s="55"/>
      <c r="G55" s="28"/>
      <c r="H55" s="29"/>
      <c r="I55" s="29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5.75" hidden="1" customHeight="1">
      <c r="A56" s="25"/>
      <c r="B56" s="25"/>
      <c r="C56" s="54"/>
      <c r="D56" s="55"/>
      <c r="E56" s="55"/>
      <c r="F56" s="55"/>
      <c r="G56" s="28"/>
      <c r="H56" s="29"/>
      <c r="I56" s="29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5.75" hidden="1" customHeight="1">
      <c r="A57" s="25"/>
      <c r="B57" s="25"/>
      <c r="C57" s="54"/>
      <c r="D57" s="55"/>
      <c r="E57" s="55"/>
      <c r="F57" s="55"/>
      <c r="G57" s="28"/>
      <c r="H57" s="29"/>
      <c r="I57" s="29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5.75" hidden="1" customHeight="1">
      <c r="A58" s="25"/>
      <c r="B58" s="25"/>
      <c r="C58" s="54"/>
      <c r="D58" s="55"/>
      <c r="E58" s="55"/>
      <c r="F58" s="55"/>
      <c r="G58" s="28"/>
      <c r="H58" s="29"/>
      <c r="I58" s="29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5.75" hidden="1" customHeight="1">
      <c r="A59" s="25"/>
      <c r="B59" s="25"/>
      <c r="C59" s="54"/>
      <c r="D59" s="55"/>
      <c r="E59" s="55"/>
      <c r="F59" s="55"/>
      <c r="G59" s="28"/>
      <c r="H59" s="29"/>
      <c r="I59" s="29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5.75" hidden="1" customHeight="1">
      <c r="A60" s="25"/>
      <c r="B60" s="25"/>
      <c r="C60" s="54"/>
      <c r="D60" s="55"/>
      <c r="E60" s="55"/>
      <c r="F60" s="55"/>
      <c r="G60" s="28"/>
      <c r="H60" s="29"/>
      <c r="I60" s="29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5.75" hidden="1" customHeight="1">
      <c r="A61" s="25"/>
      <c r="B61" s="25"/>
      <c r="C61" s="54"/>
      <c r="D61" s="55"/>
      <c r="E61" s="55"/>
      <c r="F61" s="55"/>
      <c r="G61" s="28"/>
      <c r="H61" s="29"/>
      <c r="I61" s="29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5.75" hidden="1" customHeight="1">
      <c r="A62" s="25"/>
      <c r="B62" s="25"/>
      <c r="C62" s="54"/>
      <c r="D62" s="55"/>
      <c r="E62" s="55"/>
      <c r="F62" s="55"/>
      <c r="G62" s="28"/>
      <c r="H62" s="29"/>
      <c r="I62" s="29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5.75" hidden="1" customHeight="1">
      <c r="A63" s="25"/>
      <c r="B63" s="25"/>
      <c r="C63" s="54"/>
      <c r="D63" s="55"/>
      <c r="E63" s="55"/>
      <c r="F63" s="55"/>
      <c r="G63" s="28"/>
      <c r="H63" s="29"/>
      <c r="I63" s="29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5.75" hidden="1" customHeight="1">
      <c r="A64" s="25"/>
      <c r="B64" s="25"/>
      <c r="C64" s="54"/>
      <c r="D64" s="55"/>
      <c r="E64" s="55"/>
      <c r="F64" s="55"/>
      <c r="G64" s="28"/>
      <c r="H64" s="29"/>
      <c r="I64" s="29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5.75" hidden="1" customHeight="1">
      <c r="A65" s="25"/>
      <c r="B65" s="25"/>
      <c r="C65" s="54"/>
      <c r="D65" s="55"/>
      <c r="E65" s="55"/>
      <c r="F65" s="55"/>
      <c r="G65" s="28"/>
      <c r="H65" s="29"/>
      <c r="I65" s="29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5.75" hidden="1" customHeight="1">
      <c r="A66" s="25"/>
      <c r="B66" s="25"/>
      <c r="C66" s="54"/>
      <c r="D66" s="55"/>
      <c r="E66" s="55"/>
      <c r="F66" s="55"/>
      <c r="G66" s="28"/>
      <c r="H66" s="29"/>
      <c r="I66" s="29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5.75" hidden="1" customHeight="1">
      <c r="A67" s="25"/>
      <c r="B67" s="25"/>
      <c r="C67" s="54"/>
      <c r="D67" s="55"/>
      <c r="E67" s="55"/>
      <c r="F67" s="55"/>
      <c r="G67" s="28"/>
      <c r="H67" s="29"/>
      <c r="I67" s="29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5.75" hidden="1" customHeight="1">
      <c r="A68" s="25"/>
      <c r="B68" s="25"/>
      <c r="C68" s="54"/>
      <c r="D68" s="55"/>
      <c r="E68" s="55"/>
      <c r="F68" s="55"/>
      <c r="G68" s="28"/>
      <c r="H68" s="29"/>
      <c r="I68" s="29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5.75" hidden="1" customHeight="1">
      <c r="A69" s="25"/>
      <c r="B69" s="25"/>
      <c r="C69" s="54"/>
      <c r="D69" s="55"/>
      <c r="E69" s="55"/>
      <c r="F69" s="55"/>
      <c r="G69" s="28"/>
      <c r="H69" s="29"/>
      <c r="I69" s="29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5.75" hidden="1" customHeight="1">
      <c r="A70" s="25"/>
      <c r="B70" s="25"/>
      <c r="C70" s="54"/>
      <c r="D70" s="55"/>
      <c r="E70" s="55"/>
      <c r="F70" s="55"/>
      <c r="G70" s="28"/>
      <c r="H70" s="29"/>
      <c r="I70" s="29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5.75" hidden="1" customHeight="1">
      <c r="A71" s="25"/>
      <c r="B71" s="25"/>
      <c r="C71" s="54"/>
      <c r="D71" s="55"/>
      <c r="E71" s="55"/>
      <c r="F71" s="55"/>
      <c r="G71" s="28"/>
      <c r="H71" s="29"/>
      <c r="I71" s="29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5.75" hidden="1" customHeight="1">
      <c r="A72" s="25"/>
      <c r="B72" s="25"/>
      <c r="C72" s="54"/>
      <c r="D72" s="55"/>
      <c r="E72" s="55"/>
      <c r="F72" s="55"/>
      <c r="G72" s="28"/>
      <c r="H72" s="29"/>
      <c r="I72" s="29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5.75" hidden="1" customHeight="1">
      <c r="A73" s="25"/>
      <c r="B73" s="25"/>
      <c r="C73" s="54"/>
      <c r="D73" s="55"/>
      <c r="E73" s="55"/>
      <c r="F73" s="55"/>
      <c r="G73" s="28"/>
      <c r="H73" s="29"/>
      <c r="I73" s="29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5.75" hidden="1" customHeight="1">
      <c r="A74" s="25"/>
      <c r="B74" s="25"/>
      <c r="C74" s="54"/>
      <c r="D74" s="55"/>
      <c r="E74" s="55"/>
      <c r="F74" s="55"/>
      <c r="G74" s="28"/>
      <c r="H74" s="29"/>
      <c r="I74" s="29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5.75" hidden="1" customHeight="1">
      <c r="A75" s="25"/>
      <c r="B75" s="25"/>
      <c r="C75" s="54"/>
      <c r="D75" s="55"/>
      <c r="E75" s="55"/>
      <c r="F75" s="55"/>
      <c r="G75" s="28"/>
      <c r="H75" s="29"/>
      <c r="I75" s="29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5.75" hidden="1" customHeight="1">
      <c r="A76" s="25"/>
      <c r="B76" s="25"/>
      <c r="C76" s="54"/>
      <c r="D76" s="55"/>
      <c r="E76" s="55"/>
      <c r="F76" s="55"/>
      <c r="G76" s="28"/>
      <c r="H76" s="29"/>
      <c r="I76" s="29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5.75" hidden="1" customHeight="1">
      <c r="A77" s="25"/>
      <c r="B77" s="25"/>
      <c r="C77" s="54"/>
      <c r="D77" s="55"/>
      <c r="E77" s="55"/>
      <c r="F77" s="55"/>
      <c r="G77" s="28"/>
      <c r="H77" s="29"/>
      <c r="I77" s="29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5.75" hidden="1" customHeight="1">
      <c r="A78" s="25"/>
      <c r="B78" s="25"/>
      <c r="C78" s="54"/>
      <c r="D78" s="55"/>
      <c r="E78" s="55"/>
      <c r="F78" s="55"/>
      <c r="G78" s="28"/>
      <c r="H78" s="29"/>
      <c r="I78" s="29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5.75" hidden="1" customHeight="1">
      <c r="A79" s="25"/>
      <c r="B79" s="25"/>
      <c r="C79" s="54"/>
      <c r="D79" s="55"/>
      <c r="E79" s="55"/>
      <c r="F79" s="55"/>
      <c r="G79" s="28"/>
      <c r="H79" s="29"/>
      <c r="I79" s="29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5.75" hidden="1" customHeight="1">
      <c r="A80" s="25"/>
      <c r="B80" s="25"/>
      <c r="C80" s="54"/>
      <c r="D80" s="55"/>
      <c r="E80" s="55"/>
      <c r="F80" s="55"/>
      <c r="G80" s="28"/>
      <c r="H80" s="29"/>
      <c r="I80" s="29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5.75" hidden="1" customHeight="1">
      <c r="A81" s="25"/>
      <c r="B81" s="25"/>
      <c r="C81" s="54"/>
      <c r="D81" s="55"/>
      <c r="E81" s="55"/>
      <c r="F81" s="55"/>
      <c r="G81" s="28"/>
      <c r="H81" s="29"/>
      <c r="I81" s="29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5.75" hidden="1" customHeight="1">
      <c r="A82" s="25"/>
      <c r="B82" s="25"/>
      <c r="C82" s="54"/>
      <c r="D82" s="55"/>
      <c r="E82" s="55"/>
      <c r="F82" s="55"/>
      <c r="G82" s="28"/>
      <c r="H82" s="29"/>
      <c r="I82" s="29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5.75" hidden="1" customHeight="1">
      <c r="A83" s="25"/>
      <c r="B83" s="25"/>
      <c r="C83" s="54"/>
      <c r="D83" s="55"/>
      <c r="E83" s="55"/>
      <c r="F83" s="55"/>
      <c r="G83" s="28"/>
      <c r="H83" s="29"/>
      <c r="I83" s="29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5.75" hidden="1" customHeight="1">
      <c r="A84" s="25"/>
      <c r="B84" s="25"/>
      <c r="C84" s="54"/>
      <c r="D84" s="55"/>
      <c r="E84" s="55"/>
      <c r="F84" s="55"/>
      <c r="G84" s="28"/>
      <c r="H84" s="29"/>
      <c r="I84" s="29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5.75" hidden="1" customHeight="1">
      <c r="A85" s="25"/>
      <c r="B85" s="25"/>
      <c r="C85" s="54"/>
      <c r="D85" s="55"/>
      <c r="E85" s="55"/>
      <c r="F85" s="55"/>
      <c r="G85" s="28"/>
      <c r="H85" s="29"/>
      <c r="I85" s="29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5.75" hidden="1" customHeight="1">
      <c r="A86" s="25"/>
      <c r="B86" s="25"/>
      <c r="C86" s="54"/>
      <c r="D86" s="55"/>
      <c r="E86" s="55"/>
      <c r="F86" s="55"/>
      <c r="G86" s="28"/>
      <c r="H86" s="29"/>
      <c r="I86" s="29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5.75" hidden="1" customHeight="1">
      <c r="A87" s="25"/>
      <c r="B87" s="25"/>
      <c r="C87" s="54"/>
      <c r="D87" s="55"/>
      <c r="E87" s="55"/>
      <c r="F87" s="55"/>
      <c r="G87" s="28"/>
      <c r="H87" s="29"/>
      <c r="I87" s="29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5.75" hidden="1" customHeight="1">
      <c r="A88" s="25"/>
      <c r="B88" s="25"/>
      <c r="C88" s="54"/>
      <c r="D88" s="55"/>
      <c r="E88" s="55"/>
      <c r="F88" s="55"/>
      <c r="G88" s="28"/>
      <c r="H88" s="29"/>
      <c r="I88" s="29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5.75" hidden="1" customHeight="1">
      <c r="A89" s="25"/>
      <c r="B89" s="25"/>
      <c r="C89" s="54"/>
      <c r="D89" s="55"/>
      <c r="E89" s="55"/>
      <c r="F89" s="55"/>
      <c r="G89" s="28"/>
      <c r="H89" s="29"/>
      <c r="I89" s="29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5.75" hidden="1" customHeight="1">
      <c r="A90" s="25"/>
      <c r="B90" s="25"/>
      <c r="C90" s="54"/>
      <c r="D90" s="55"/>
      <c r="E90" s="55"/>
      <c r="F90" s="55"/>
      <c r="G90" s="28"/>
      <c r="H90" s="29"/>
      <c r="I90" s="29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5.75" hidden="1" customHeight="1">
      <c r="A91" s="25"/>
      <c r="B91" s="25"/>
      <c r="C91" s="54"/>
      <c r="D91" s="55"/>
      <c r="E91" s="55"/>
      <c r="F91" s="55"/>
      <c r="G91" s="28"/>
      <c r="H91" s="29"/>
      <c r="I91" s="29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5.75" hidden="1" customHeight="1">
      <c r="A92" s="25"/>
      <c r="B92" s="25"/>
      <c r="C92" s="54"/>
      <c r="D92" s="55"/>
      <c r="E92" s="55"/>
      <c r="F92" s="55"/>
      <c r="G92" s="28"/>
      <c r="H92" s="29"/>
      <c r="I92" s="29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5.75" hidden="1" customHeight="1">
      <c r="A93" s="25"/>
      <c r="B93" s="25"/>
      <c r="C93" s="54"/>
      <c r="D93" s="55"/>
      <c r="E93" s="55"/>
      <c r="F93" s="55"/>
      <c r="G93" s="28"/>
      <c r="H93" s="29"/>
      <c r="I93" s="29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5.75" hidden="1" customHeight="1">
      <c r="A94" s="25"/>
      <c r="B94" s="25"/>
      <c r="C94" s="54"/>
      <c r="D94" s="55"/>
      <c r="E94" s="55"/>
      <c r="F94" s="55"/>
      <c r="G94" s="28"/>
      <c r="H94" s="29"/>
      <c r="I94" s="29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5.75" hidden="1" customHeight="1">
      <c r="A95" s="25"/>
      <c r="B95" s="25"/>
      <c r="C95" s="54"/>
      <c r="D95" s="55"/>
      <c r="E95" s="55"/>
      <c r="F95" s="55"/>
      <c r="G95" s="28"/>
      <c r="H95" s="29"/>
      <c r="I95" s="29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5.75" hidden="1" customHeight="1">
      <c r="A96" s="25"/>
      <c r="B96" s="25"/>
      <c r="C96" s="54"/>
      <c r="D96" s="55"/>
      <c r="E96" s="55"/>
      <c r="F96" s="55"/>
      <c r="G96" s="28"/>
      <c r="H96" s="29"/>
      <c r="I96" s="29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5.75" hidden="1" customHeight="1">
      <c r="A97" s="25"/>
      <c r="B97" s="25"/>
      <c r="C97" s="54"/>
      <c r="D97" s="55"/>
      <c r="E97" s="55"/>
      <c r="F97" s="55"/>
      <c r="G97" s="28"/>
      <c r="H97" s="29"/>
      <c r="I97" s="29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5.75" hidden="1" customHeight="1">
      <c r="A98" s="25"/>
      <c r="B98" s="25"/>
      <c r="C98" s="54"/>
      <c r="D98" s="55"/>
      <c r="E98" s="55"/>
      <c r="F98" s="55"/>
      <c r="G98" s="28"/>
      <c r="H98" s="29"/>
      <c r="I98" s="29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5.75" hidden="1" customHeight="1">
      <c r="A99" s="25"/>
      <c r="B99" s="25"/>
      <c r="C99" s="54"/>
      <c r="D99" s="55"/>
      <c r="E99" s="55"/>
      <c r="F99" s="55"/>
      <c r="G99" s="28"/>
      <c r="H99" s="29"/>
      <c r="I99" s="29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5.75" hidden="1" customHeight="1">
      <c r="A100" s="25"/>
      <c r="B100" s="25"/>
      <c r="C100" s="54"/>
      <c r="D100" s="55"/>
      <c r="E100" s="55"/>
      <c r="F100" s="55"/>
      <c r="G100" s="28"/>
      <c r="H100" s="29"/>
      <c r="I100" s="29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5.75" hidden="1" customHeight="1">
      <c r="A101" s="25"/>
      <c r="B101" s="25"/>
      <c r="C101" s="54"/>
      <c r="D101" s="55"/>
      <c r="E101" s="55"/>
      <c r="F101" s="55"/>
      <c r="G101" s="28"/>
      <c r="H101" s="29"/>
      <c r="I101" s="29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5.75" hidden="1" customHeight="1">
      <c r="A102" s="25"/>
      <c r="B102" s="25"/>
      <c r="C102" s="54"/>
      <c r="D102" s="55"/>
      <c r="E102" s="55"/>
      <c r="F102" s="55"/>
      <c r="G102" s="28"/>
      <c r="H102" s="29"/>
      <c r="I102" s="29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5.75" hidden="1" customHeight="1">
      <c r="A103" s="25"/>
      <c r="B103" s="25"/>
      <c r="C103" s="54"/>
      <c r="D103" s="55"/>
      <c r="E103" s="55"/>
      <c r="F103" s="55"/>
      <c r="G103" s="28"/>
      <c r="H103" s="29"/>
      <c r="I103" s="29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5.75" hidden="1" customHeight="1">
      <c r="A104" s="25"/>
      <c r="B104" s="25"/>
      <c r="C104" s="54"/>
      <c r="D104" s="55"/>
      <c r="E104" s="55"/>
      <c r="F104" s="55"/>
      <c r="G104" s="28"/>
      <c r="H104" s="29"/>
      <c r="I104" s="29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5.75" hidden="1" customHeight="1">
      <c r="A105" s="25"/>
      <c r="B105" s="25"/>
      <c r="C105" s="54"/>
      <c r="D105" s="55"/>
      <c r="E105" s="55"/>
      <c r="F105" s="55"/>
      <c r="G105" s="28"/>
      <c r="H105" s="29"/>
      <c r="I105" s="29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5.75" hidden="1" customHeight="1">
      <c r="A106" s="25"/>
      <c r="B106" s="25"/>
      <c r="C106" s="54"/>
      <c r="D106" s="55"/>
      <c r="E106" s="55"/>
      <c r="F106" s="55"/>
      <c r="G106" s="28"/>
      <c r="H106" s="29"/>
      <c r="I106" s="29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5.75" hidden="1" customHeight="1">
      <c r="A107" s="25"/>
      <c r="B107" s="25"/>
      <c r="C107" s="54"/>
      <c r="D107" s="55"/>
      <c r="E107" s="55"/>
      <c r="F107" s="55"/>
      <c r="G107" s="28"/>
      <c r="H107" s="29"/>
      <c r="I107" s="29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5.75" hidden="1" customHeight="1">
      <c r="A108" s="25"/>
      <c r="B108" s="25"/>
      <c r="C108" s="54"/>
      <c r="D108" s="55"/>
      <c r="E108" s="55"/>
      <c r="F108" s="55"/>
      <c r="G108" s="28"/>
      <c r="H108" s="29"/>
      <c r="I108" s="29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5.75" hidden="1" customHeight="1">
      <c r="A109" s="25"/>
      <c r="B109" s="25"/>
      <c r="C109" s="54"/>
      <c r="D109" s="55"/>
      <c r="E109" s="55"/>
      <c r="F109" s="55"/>
      <c r="G109" s="28"/>
      <c r="H109" s="29"/>
      <c r="I109" s="29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5.75" hidden="1" customHeight="1">
      <c r="A110" s="25"/>
      <c r="B110" s="25"/>
      <c r="C110" s="54"/>
      <c r="D110" s="55"/>
      <c r="E110" s="55"/>
      <c r="F110" s="55"/>
      <c r="G110" s="28"/>
      <c r="H110" s="29"/>
      <c r="I110" s="29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5.75" hidden="1" customHeight="1">
      <c r="A111" s="25"/>
      <c r="B111" s="25"/>
      <c r="C111" s="54"/>
      <c r="D111" s="55"/>
      <c r="E111" s="55"/>
      <c r="F111" s="55"/>
      <c r="G111" s="28"/>
      <c r="H111" s="29"/>
      <c r="I111" s="29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5.75" hidden="1" customHeight="1">
      <c r="A112" s="25"/>
      <c r="B112" s="25"/>
      <c r="C112" s="54"/>
      <c r="D112" s="55"/>
      <c r="E112" s="55"/>
      <c r="F112" s="55"/>
      <c r="G112" s="28"/>
      <c r="H112" s="29"/>
      <c r="I112" s="29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5.75" hidden="1" customHeight="1">
      <c r="A113" s="25"/>
      <c r="B113" s="25"/>
      <c r="C113" s="54"/>
      <c r="D113" s="55"/>
      <c r="E113" s="55"/>
      <c r="F113" s="55"/>
      <c r="G113" s="28"/>
      <c r="H113" s="29"/>
      <c r="I113" s="29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5.75" hidden="1" customHeight="1">
      <c r="A114" s="25"/>
      <c r="B114" s="25"/>
      <c r="C114" s="54"/>
      <c r="D114" s="55"/>
      <c r="E114" s="55"/>
      <c r="F114" s="55"/>
      <c r="G114" s="28"/>
      <c r="H114" s="29"/>
      <c r="I114" s="29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5.75" hidden="1" customHeight="1">
      <c r="A115" s="25"/>
      <c r="B115" s="25"/>
      <c r="C115" s="54"/>
      <c r="D115" s="55"/>
      <c r="E115" s="55"/>
      <c r="F115" s="55"/>
      <c r="G115" s="28"/>
      <c r="H115" s="29"/>
      <c r="I115" s="29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5.75" hidden="1" customHeight="1">
      <c r="A116" s="25"/>
      <c r="B116" s="25"/>
      <c r="C116" s="54"/>
      <c r="D116" s="55"/>
      <c r="E116" s="55"/>
      <c r="F116" s="55"/>
      <c r="G116" s="28"/>
      <c r="H116" s="29"/>
      <c r="I116" s="29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5.75" hidden="1" customHeight="1">
      <c r="A117" s="25"/>
      <c r="B117" s="25"/>
      <c r="C117" s="54"/>
      <c r="D117" s="55"/>
      <c r="E117" s="55"/>
      <c r="F117" s="55"/>
      <c r="G117" s="28"/>
      <c r="H117" s="29"/>
      <c r="I117" s="29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5.75" hidden="1" customHeight="1">
      <c r="A118" s="25"/>
      <c r="B118" s="25"/>
      <c r="C118" s="54"/>
      <c r="D118" s="55"/>
      <c r="E118" s="55"/>
      <c r="F118" s="55"/>
      <c r="G118" s="28"/>
      <c r="H118" s="29"/>
      <c r="I118" s="29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5.75" hidden="1" customHeight="1">
      <c r="A119" s="25"/>
      <c r="B119" s="25"/>
      <c r="C119" s="54"/>
      <c r="D119" s="55"/>
      <c r="E119" s="55"/>
      <c r="F119" s="55"/>
      <c r="G119" s="28"/>
      <c r="H119" s="29"/>
      <c r="I119" s="29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5.75" hidden="1" customHeight="1">
      <c r="A120" s="25"/>
      <c r="B120" s="25"/>
      <c r="C120" s="54"/>
      <c r="D120" s="55"/>
      <c r="E120" s="55"/>
      <c r="F120" s="55"/>
      <c r="G120" s="28"/>
      <c r="H120" s="29"/>
      <c r="I120" s="29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5.75" hidden="1" customHeight="1">
      <c r="A121" s="25"/>
      <c r="B121" s="25"/>
      <c r="C121" s="54"/>
      <c r="D121" s="55"/>
      <c r="E121" s="55"/>
      <c r="F121" s="55"/>
      <c r="G121" s="28"/>
      <c r="H121" s="29"/>
      <c r="I121" s="29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5.75" hidden="1" customHeight="1">
      <c r="A122" s="25"/>
      <c r="B122" s="25"/>
      <c r="C122" s="54"/>
      <c r="D122" s="55"/>
      <c r="E122" s="55"/>
      <c r="F122" s="55"/>
      <c r="G122" s="28"/>
      <c r="H122" s="29"/>
      <c r="I122" s="29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5.75" hidden="1" customHeight="1">
      <c r="A123" s="25"/>
      <c r="B123" s="25"/>
      <c r="C123" s="54"/>
      <c r="D123" s="55"/>
      <c r="E123" s="55"/>
      <c r="F123" s="55"/>
      <c r="G123" s="28"/>
      <c r="H123" s="29"/>
      <c r="I123" s="29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5.75" hidden="1" customHeight="1">
      <c r="A124" s="25"/>
      <c r="B124" s="25"/>
      <c r="C124" s="54"/>
      <c r="D124" s="55"/>
      <c r="E124" s="55"/>
      <c r="F124" s="55"/>
      <c r="G124" s="28"/>
      <c r="H124" s="29"/>
      <c r="I124" s="29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5.75" hidden="1" customHeight="1">
      <c r="A125" s="25"/>
      <c r="B125" s="25"/>
      <c r="C125" s="54"/>
      <c r="D125" s="55"/>
      <c r="E125" s="55"/>
      <c r="F125" s="55"/>
      <c r="G125" s="28"/>
      <c r="H125" s="29"/>
      <c r="I125" s="29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5.75" hidden="1" customHeight="1">
      <c r="A126" s="25"/>
      <c r="B126" s="25"/>
      <c r="C126" s="54"/>
      <c r="D126" s="55"/>
      <c r="E126" s="55"/>
      <c r="F126" s="55"/>
      <c r="G126" s="28"/>
      <c r="H126" s="29"/>
      <c r="I126" s="29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5.75" hidden="1" customHeight="1">
      <c r="A127" s="25"/>
      <c r="B127" s="25"/>
      <c r="C127" s="54"/>
      <c r="D127" s="55"/>
      <c r="E127" s="55"/>
      <c r="F127" s="55"/>
      <c r="G127" s="28"/>
      <c r="H127" s="29"/>
      <c r="I127" s="29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5.75" hidden="1" customHeight="1">
      <c r="A128" s="25"/>
      <c r="B128" s="25"/>
      <c r="C128" s="54"/>
      <c r="D128" s="55"/>
      <c r="E128" s="55"/>
      <c r="F128" s="55"/>
      <c r="G128" s="28"/>
      <c r="H128" s="29"/>
      <c r="I128" s="29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5.75" hidden="1" customHeight="1">
      <c r="A129" s="25"/>
      <c r="B129" s="25"/>
      <c r="C129" s="54"/>
      <c r="D129" s="55"/>
      <c r="E129" s="55"/>
      <c r="F129" s="55"/>
      <c r="G129" s="28"/>
      <c r="H129" s="29"/>
      <c r="I129" s="29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5.75" hidden="1" customHeight="1">
      <c r="A130" s="25"/>
      <c r="B130" s="25"/>
      <c r="C130" s="54"/>
      <c r="D130" s="55"/>
      <c r="E130" s="55"/>
      <c r="F130" s="55"/>
      <c r="G130" s="28"/>
      <c r="H130" s="29"/>
      <c r="I130" s="29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5.75" hidden="1" customHeight="1">
      <c r="A131" s="25"/>
      <c r="B131" s="25"/>
      <c r="C131" s="54"/>
      <c r="D131" s="55"/>
      <c r="E131" s="55"/>
      <c r="F131" s="55"/>
      <c r="G131" s="28"/>
      <c r="H131" s="29"/>
      <c r="I131" s="29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5.75" hidden="1" customHeight="1">
      <c r="A132" s="25"/>
      <c r="B132" s="25"/>
      <c r="C132" s="54"/>
      <c r="D132" s="55"/>
      <c r="E132" s="55"/>
      <c r="F132" s="55"/>
      <c r="G132" s="28"/>
      <c r="H132" s="29"/>
      <c r="I132" s="29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5.75" hidden="1" customHeight="1">
      <c r="A133" s="25"/>
      <c r="B133" s="25"/>
      <c r="C133" s="54"/>
      <c r="D133" s="55"/>
      <c r="E133" s="55"/>
      <c r="F133" s="55"/>
      <c r="G133" s="28"/>
      <c r="H133" s="29"/>
      <c r="I133" s="29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5.75" hidden="1" customHeight="1">
      <c r="A134" s="25"/>
      <c r="B134" s="25"/>
      <c r="C134" s="54"/>
      <c r="D134" s="55"/>
      <c r="E134" s="55"/>
      <c r="F134" s="55"/>
      <c r="G134" s="28"/>
      <c r="H134" s="29"/>
      <c r="I134" s="29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5.75" hidden="1" customHeight="1">
      <c r="A135" s="25"/>
      <c r="B135" s="25"/>
      <c r="C135" s="54"/>
      <c r="D135" s="55"/>
      <c r="E135" s="55"/>
      <c r="F135" s="55"/>
      <c r="G135" s="28"/>
      <c r="H135" s="29"/>
      <c r="I135" s="29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5.75" hidden="1" customHeight="1">
      <c r="A136" s="25"/>
      <c r="B136" s="25"/>
      <c r="C136" s="54"/>
      <c r="D136" s="55"/>
      <c r="E136" s="55"/>
      <c r="F136" s="55"/>
      <c r="G136" s="28"/>
      <c r="H136" s="29"/>
      <c r="I136" s="29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5.75" hidden="1" customHeight="1">
      <c r="A137" s="25"/>
      <c r="B137" s="25"/>
      <c r="C137" s="54"/>
      <c r="D137" s="55"/>
      <c r="E137" s="55"/>
      <c r="F137" s="55"/>
      <c r="G137" s="28"/>
      <c r="H137" s="29"/>
      <c r="I137" s="29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5.75" hidden="1" customHeight="1">
      <c r="A138" s="25"/>
      <c r="B138" s="25"/>
      <c r="C138" s="54"/>
      <c r="D138" s="55"/>
      <c r="E138" s="55"/>
      <c r="F138" s="55"/>
      <c r="G138" s="28"/>
      <c r="H138" s="29"/>
      <c r="I138" s="29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5.75" hidden="1" customHeight="1">
      <c r="A139" s="25"/>
      <c r="B139" s="25"/>
      <c r="C139" s="54"/>
      <c r="D139" s="55"/>
      <c r="E139" s="55"/>
      <c r="F139" s="55"/>
      <c r="G139" s="28"/>
      <c r="H139" s="29"/>
      <c r="I139" s="29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5.75" hidden="1" customHeight="1">
      <c r="A140" s="25"/>
      <c r="B140" s="25"/>
      <c r="C140" s="54"/>
      <c r="D140" s="55"/>
      <c r="E140" s="55"/>
      <c r="F140" s="55"/>
      <c r="G140" s="28"/>
      <c r="H140" s="29"/>
      <c r="I140" s="29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5.75" hidden="1" customHeight="1">
      <c r="A141" s="25"/>
      <c r="B141" s="25"/>
      <c r="C141" s="54"/>
      <c r="D141" s="55"/>
      <c r="E141" s="55"/>
      <c r="F141" s="55"/>
      <c r="G141" s="28"/>
      <c r="H141" s="29"/>
      <c r="I141" s="29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5.75" hidden="1" customHeight="1">
      <c r="A142" s="25"/>
      <c r="B142" s="25"/>
      <c r="C142" s="54"/>
      <c r="D142" s="55"/>
      <c r="E142" s="55"/>
      <c r="F142" s="55"/>
      <c r="G142" s="28"/>
      <c r="H142" s="29"/>
      <c r="I142" s="29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5.75" hidden="1" customHeight="1">
      <c r="A143" s="25"/>
      <c r="B143" s="25"/>
      <c r="C143" s="54"/>
      <c r="D143" s="55"/>
      <c r="E143" s="55"/>
      <c r="F143" s="55"/>
      <c r="G143" s="28"/>
      <c r="H143" s="29"/>
      <c r="I143" s="29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5.75" hidden="1" customHeight="1">
      <c r="A144" s="25"/>
      <c r="B144" s="25"/>
      <c r="C144" s="54"/>
      <c r="D144" s="55"/>
      <c r="E144" s="55"/>
      <c r="F144" s="55"/>
      <c r="G144" s="28"/>
      <c r="H144" s="29"/>
      <c r="I144" s="29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5.75" hidden="1" customHeight="1">
      <c r="A145" s="25"/>
      <c r="B145" s="25"/>
      <c r="C145" s="54"/>
      <c r="D145" s="55"/>
      <c r="E145" s="55"/>
      <c r="F145" s="55"/>
      <c r="G145" s="28"/>
      <c r="H145" s="29"/>
      <c r="I145" s="29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5.75" hidden="1" customHeight="1">
      <c r="A146" s="25"/>
      <c r="B146" s="25"/>
      <c r="C146" s="54"/>
      <c r="D146" s="55"/>
      <c r="E146" s="55"/>
      <c r="F146" s="55"/>
      <c r="G146" s="28"/>
      <c r="H146" s="29"/>
      <c r="I146" s="29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5.75" hidden="1" customHeight="1">
      <c r="A147" s="25"/>
      <c r="B147" s="25"/>
      <c r="C147" s="54"/>
      <c r="D147" s="55"/>
      <c r="E147" s="55"/>
      <c r="F147" s="55"/>
      <c r="G147" s="28"/>
      <c r="H147" s="29"/>
      <c r="I147" s="29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5.75" hidden="1" customHeight="1">
      <c r="A148" s="25"/>
      <c r="B148" s="25"/>
      <c r="C148" s="54"/>
      <c r="D148" s="55"/>
      <c r="E148" s="55"/>
      <c r="F148" s="55"/>
      <c r="G148" s="28"/>
      <c r="H148" s="29"/>
      <c r="I148" s="29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5.75" hidden="1" customHeight="1">
      <c r="A149" s="25"/>
      <c r="B149" s="25"/>
      <c r="C149" s="54"/>
      <c r="D149" s="55"/>
      <c r="E149" s="55"/>
      <c r="F149" s="55"/>
      <c r="G149" s="28"/>
      <c r="H149" s="29"/>
      <c r="I149" s="29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5.75" hidden="1" customHeight="1">
      <c r="A150" s="25"/>
      <c r="B150" s="25"/>
      <c r="C150" s="54"/>
      <c r="D150" s="55"/>
      <c r="E150" s="55"/>
      <c r="F150" s="55"/>
      <c r="G150" s="28"/>
      <c r="H150" s="29"/>
      <c r="I150" s="29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5.75" hidden="1" customHeight="1">
      <c r="A151" s="25"/>
      <c r="B151" s="25"/>
      <c r="C151" s="54"/>
      <c r="D151" s="55"/>
      <c r="E151" s="55"/>
      <c r="F151" s="55"/>
      <c r="G151" s="28"/>
      <c r="H151" s="29"/>
      <c r="I151" s="29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5.75" hidden="1" customHeight="1">
      <c r="A152" s="25"/>
      <c r="B152" s="25"/>
      <c r="C152" s="54"/>
      <c r="D152" s="55"/>
      <c r="E152" s="55"/>
      <c r="F152" s="55"/>
      <c r="G152" s="28"/>
      <c r="H152" s="29"/>
      <c r="I152" s="29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5.75" hidden="1" customHeight="1">
      <c r="A153" s="25"/>
      <c r="B153" s="25"/>
      <c r="C153" s="54"/>
      <c r="D153" s="55"/>
      <c r="E153" s="55"/>
      <c r="F153" s="55"/>
      <c r="G153" s="28"/>
      <c r="H153" s="29"/>
      <c r="I153" s="29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5.75" hidden="1" customHeight="1">
      <c r="A154" s="25"/>
      <c r="B154" s="25"/>
      <c r="C154" s="54"/>
      <c r="D154" s="55"/>
      <c r="E154" s="55"/>
      <c r="F154" s="55"/>
      <c r="G154" s="28"/>
      <c r="H154" s="29"/>
      <c r="I154" s="29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5.75" hidden="1" customHeight="1">
      <c r="A155" s="25"/>
      <c r="B155" s="25"/>
      <c r="C155" s="54"/>
      <c r="D155" s="55"/>
      <c r="E155" s="55"/>
      <c r="F155" s="55"/>
      <c r="G155" s="28"/>
      <c r="H155" s="29"/>
      <c r="I155" s="29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5.75" hidden="1" customHeight="1">
      <c r="A156" s="25"/>
      <c r="B156" s="25"/>
      <c r="C156" s="54"/>
      <c r="D156" s="55"/>
      <c r="E156" s="55"/>
      <c r="F156" s="55"/>
      <c r="G156" s="28"/>
      <c r="H156" s="29"/>
      <c r="I156" s="29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5.75" hidden="1" customHeight="1">
      <c r="A157" s="25"/>
      <c r="B157" s="25"/>
      <c r="C157" s="54"/>
      <c r="D157" s="55"/>
      <c r="E157" s="55"/>
      <c r="F157" s="55"/>
      <c r="G157" s="28"/>
      <c r="H157" s="29"/>
      <c r="I157" s="29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5.75" hidden="1" customHeight="1">
      <c r="A158" s="25"/>
      <c r="B158" s="25"/>
      <c r="C158" s="54"/>
      <c r="D158" s="55"/>
      <c r="E158" s="55"/>
      <c r="F158" s="55"/>
      <c r="G158" s="28"/>
      <c r="H158" s="29"/>
      <c r="I158" s="29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5.75" hidden="1" customHeight="1">
      <c r="A159" s="25"/>
      <c r="B159" s="25"/>
      <c r="C159" s="54"/>
      <c r="D159" s="55"/>
      <c r="E159" s="55"/>
      <c r="F159" s="55"/>
      <c r="G159" s="28"/>
      <c r="H159" s="29"/>
      <c r="I159" s="29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5.75" hidden="1" customHeight="1">
      <c r="A160" s="25"/>
      <c r="B160" s="25"/>
      <c r="C160" s="54"/>
      <c r="D160" s="55"/>
      <c r="E160" s="55"/>
      <c r="F160" s="55"/>
      <c r="G160" s="28"/>
      <c r="H160" s="29"/>
      <c r="I160" s="29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5.75" hidden="1" customHeight="1">
      <c r="A161" s="25"/>
      <c r="B161" s="25"/>
      <c r="C161" s="54"/>
      <c r="D161" s="55"/>
      <c r="E161" s="55"/>
      <c r="F161" s="55"/>
      <c r="G161" s="28"/>
      <c r="H161" s="29"/>
      <c r="I161" s="29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5.75" hidden="1" customHeight="1">
      <c r="A162" s="25"/>
      <c r="B162" s="25"/>
      <c r="C162" s="54"/>
      <c r="D162" s="55"/>
      <c r="E162" s="55"/>
      <c r="F162" s="55"/>
      <c r="G162" s="28"/>
      <c r="H162" s="29"/>
      <c r="I162" s="29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5.75" hidden="1" customHeight="1">
      <c r="A163" s="25"/>
      <c r="B163" s="25"/>
      <c r="C163" s="54"/>
      <c r="D163" s="55"/>
      <c r="E163" s="55"/>
      <c r="F163" s="55"/>
      <c r="G163" s="28"/>
      <c r="H163" s="29"/>
      <c r="I163" s="29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5.75" hidden="1" customHeight="1">
      <c r="A164" s="25"/>
      <c r="B164" s="25"/>
      <c r="C164" s="54"/>
      <c r="D164" s="55"/>
      <c r="E164" s="55"/>
      <c r="F164" s="55"/>
      <c r="G164" s="28"/>
      <c r="H164" s="29"/>
      <c r="I164" s="29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5.75" hidden="1" customHeight="1">
      <c r="A165" s="25"/>
      <c r="B165" s="25"/>
      <c r="C165" s="54"/>
      <c r="D165" s="55"/>
      <c r="E165" s="55"/>
      <c r="F165" s="55"/>
      <c r="G165" s="28"/>
      <c r="H165" s="29"/>
      <c r="I165" s="29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5.75" hidden="1" customHeight="1">
      <c r="A166" s="25"/>
      <c r="B166" s="25"/>
      <c r="C166" s="54"/>
      <c r="D166" s="55"/>
      <c r="E166" s="55"/>
      <c r="F166" s="55"/>
      <c r="G166" s="28"/>
      <c r="H166" s="29"/>
      <c r="I166" s="29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5.75" hidden="1" customHeight="1">
      <c r="A167" s="25"/>
      <c r="B167" s="25"/>
      <c r="C167" s="54"/>
      <c r="D167" s="55"/>
      <c r="E167" s="55"/>
      <c r="F167" s="55"/>
      <c r="G167" s="28"/>
      <c r="H167" s="29"/>
      <c r="I167" s="29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5.75" hidden="1" customHeight="1">
      <c r="A168" s="25"/>
      <c r="B168" s="25"/>
      <c r="C168" s="54"/>
      <c r="D168" s="55"/>
      <c r="E168" s="55"/>
      <c r="F168" s="55"/>
      <c r="G168" s="28"/>
      <c r="H168" s="29"/>
      <c r="I168" s="29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5.75" hidden="1" customHeight="1">
      <c r="A169" s="25"/>
      <c r="B169" s="25"/>
      <c r="C169" s="54"/>
      <c r="D169" s="55"/>
      <c r="E169" s="55"/>
      <c r="F169" s="55"/>
      <c r="G169" s="28"/>
      <c r="H169" s="29"/>
      <c r="I169" s="29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5.75" hidden="1" customHeight="1">
      <c r="A170" s="25"/>
      <c r="B170" s="25"/>
      <c r="C170" s="54"/>
      <c r="D170" s="55"/>
      <c r="E170" s="55"/>
      <c r="F170" s="55"/>
      <c r="G170" s="28"/>
      <c r="H170" s="29"/>
      <c r="I170" s="29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5.75" hidden="1" customHeight="1">
      <c r="A171" s="25"/>
      <c r="B171" s="25"/>
      <c r="C171" s="54"/>
      <c r="D171" s="55"/>
      <c r="E171" s="55"/>
      <c r="F171" s="55"/>
      <c r="G171" s="28"/>
      <c r="H171" s="29"/>
      <c r="I171" s="29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5.75" hidden="1" customHeight="1">
      <c r="A172" s="25"/>
      <c r="B172" s="25"/>
      <c r="C172" s="54"/>
      <c r="D172" s="55"/>
      <c r="E172" s="55"/>
      <c r="F172" s="55"/>
      <c r="G172" s="28"/>
      <c r="H172" s="29"/>
      <c r="I172" s="29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5.75" hidden="1" customHeight="1">
      <c r="A173" s="25"/>
      <c r="B173" s="25"/>
      <c r="C173" s="54"/>
      <c r="D173" s="55"/>
      <c r="E173" s="55"/>
      <c r="F173" s="55"/>
      <c r="G173" s="28"/>
      <c r="H173" s="29"/>
      <c r="I173" s="29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5.75" hidden="1" customHeight="1">
      <c r="A174" s="25"/>
      <c r="B174" s="25"/>
      <c r="C174" s="54"/>
      <c r="D174" s="55"/>
      <c r="E174" s="55"/>
      <c r="F174" s="55"/>
      <c r="G174" s="28"/>
      <c r="H174" s="29"/>
      <c r="I174" s="29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5.75" hidden="1" customHeight="1">
      <c r="A175" s="25"/>
      <c r="B175" s="25"/>
      <c r="C175" s="54"/>
      <c r="D175" s="55"/>
      <c r="E175" s="55"/>
      <c r="F175" s="55"/>
      <c r="G175" s="28"/>
      <c r="H175" s="29"/>
      <c r="I175" s="29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5.75" hidden="1" customHeight="1">
      <c r="A176" s="25"/>
      <c r="B176" s="25"/>
      <c r="C176" s="54"/>
      <c r="D176" s="55"/>
      <c r="E176" s="55"/>
      <c r="F176" s="55"/>
      <c r="G176" s="28"/>
      <c r="H176" s="29"/>
      <c r="I176" s="29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5.75" hidden="1" customHeight="1">
      <c r="A177" s="25"/>
      <c r="B177" s="25"/>
      <c r="C177" s="54"/>
      <c r="D177" s="55"/>
      <c r="E177" s="55"/>
      <c r="F177" s="55"/>
      <c r="G177" s="28"/>
      <c r="H177" s="29"/>
      <c r="I177" s="29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5.75" hidden="1" customHeight="1">
      <c r="A178" s="25"/>
      <c r="B178" s="25"/>
      <c r="C178" s="54"/>
      <c r="D178" s="55"/>
      <c r="E178" s="55"/>
      <c r="F178" s="55"/>
      <c r="G178" s="28"/>
      <c r="H178" s="29"/>
      <c r="I178" s="29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5.75" hidden="1" customHeight="1">
      <c r="A179" s="25"/>
      <c r="B179" s="25"/>
      <c r="C179" s="54"/>
      <c r="D179" s="55"/>
      <c r="E179" s="55"/>
      <c r="F179" s="55"/>
      <c r="G179" s="28"/>
      <c r="H179" s="29"/>
      <c r="I179" s="29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5.75" hidden="1" customHeight="1">
      <c r="A180" s="25"/>
      <c r="B180" s="25"/>
      <c r="C180" s="54"/>
      <c r="D180" s="55"/>
      <c r="E180" s="55"/>
      <c r="F180" s="55"/>
      <c r="G180" s="28"/>
      <c r="H180" s="29"/>
      <c r="I180" s="29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5.75" hidden="1" customHeight="1">
      <c r="A181" s="25"/>
      <c r="B181" s="25"/>
      <c r="C181" s="54"/>
      <c r="D181" s="55"/>
      <c r="E181" s="55"/>
      <c r="F181" s="55"/>
      <c r="G181" s="28"/>
      <c r="H181" s="29"/>
      <c r="I181" s="29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5.75" hidden="1" customHeight="1">
      <c r="A182" s="25"/>
      <c r="B182" s="25"/>
      <c r="C182" s="54"/>
      <c r="D182" s="55"/>
      <c r="E182" s="55"/>
      <c r="F182" s="55"/>
      <c r="G182" s="28"/>
      <c r="H182" s="29"/>
      <c r="I182" s="29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5.75" hidden="1" customHeight="1">
      <c r="A183" s="25"/>
      <c r="B183" s="25"/>
      <c r="C183" s="54"/>
      <c r="D183" s="55"/>
      <c r="E183" s="55"/>
      <c r="F183" s="55"/>
      <c r="G183" s="28"/>
      <c r="H183" s="29"/>
      <c r="I183" s="29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5.75" hidden="1" customHeight="1">
      <c r="A184" s="25"/>
      <c r="B184" s="25"/>
      <c r="C184" s="54"/>
      <c r="D184" s="55"/>
      <c r="E184" s="55"/>
      <c r="F184" s="55"/>
      <c r="G184" s="28"/>
      <c r="H184" s="29"/>
      <c r="I184" s="29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5.75" hidden="1" customHeight="1">
      <c r="A185" s="25"/>
      <c r="B185" s="25"/>
      <c r="C185" s="54"/>
      <c r="D185" s="55"/>
      <c r="E185" s="55"/>
      <c r="F185" s="55"/>
      <c r="G185" s="28"/>
      <c r="H185" s="29"/>
      <c r="I185" s="29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5.75" hidden="1" customHeight="1">
      <c r="A186" s="25"/>
      <c r="B186" s="25"/>
      <c r="C186" s="54"/>
      <c r="D186" s="55"/>
      <c r="E186" s="55"/>
      <c r="F186" s="55"/>
      <c r="G186" s="28"/>
      <c r="H186" s="29"/>
      <c r="I186" s="29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5.75" hidden="1" customHeight="1">
      <c r="A187" s="25"/>
      <c r="B187" s="25"/>
      <c r="C187" s="54"/>
      <c r="D187" s="55"/>
      <c r="E187" s="55"/>
      <c r="F187" s="55"/>
      <c r="G187" s="28"/>
      <c r="H187" s="29"/>
      <c r="I187" s="29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5.75" hidden="1" customHeight="1">
      <c r="A188" s="25"/>
      <c r="B188" s="25"/>
      <c r="C188" s="54"/>
      <c r="D188" s="55"/>
      <c r="E188" s="55"/>
      <c r="F188" s="55"/>
      <c r="G188" s="28"/>
      <c r="H188" s="29"/>
      <c r="I188" s="29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5.75" hidden="1" customHeight="1">
      <c r="A189" s="25"/>
      <c r="B189" s="25"/>
      <c r="C189" s="54"/>
      <c r="D189" s="55"/>
      <c r="E189" s="55"/>
      <c r="F189" s="55"/>
      <c r="G189" s="28"/>
      <c r="H189" s="29"/>
      <c r="I189" s="29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5.75" hidden="1" customHeight="1">
      <c r="A190" s="25"/>
      <c r="B190" s="25"/>
      <c r="C190" s="54"/>
      <c r="D190" s="55"/>
      <c r="E190" s="55"/>
      <c r="F190" s="55"/>
      <c r="G190" s="28"/>
      <c r="H190" s="29"/>
      <c r="I190" s="29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5.75" hidden="1" customHeight="1">
      <c r="A191" s="25"/>
      <c r="B191" s="25"/>
      <c r="C191" s="54"/>
      <c r="D191" s="55"/>
      <c r="E191" s="55"/>
      <c r="F191" s="55"/>
      <c r="G191" s="28"/>
      <c r="H191" s="29"/>
      <c r="I191" s="29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5.75" hidden="1" customHeight="1">
      <c r="A192" s="25"/>
      <c r="B192" s="25"/>
      <c r="C192" s="54"/>
      <c r="D192" s="55"/>
      <c r="E192" s="55"/>
      <c r="F192" s="55"/>
      <c r="G192" s="28"/>
      <c r="H192" s="29"/>
      <c r="I192" s="29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5.75" hidden="1" customHeight="1">
      <c r="A193" s="25"/>
      <c r="B193" s="25"/>
      <c r="C193" s="54"/>
      <c r="D193" s="55"/>
      <c r="E193" s="55"/>
      <c r="F193" s="55"/>
      <c r="G193" s="28"/>
      <c r="H193" s="29"/>
      <c r="I193" s="29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5.75" hidden="1" customHeight="1">
      <c r="A194" s="25"/>
      <c r="B194" s="25"/>
      <c r="C194" s="54"/>
      <c r="D194" s="55"/>
      <c r="E194" s="55"/>
      <c r="F194" s="55"/>
      <c r="G194" s="28"/>
      <c r="H194" s="29"/>
      <c r="I194" s="29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5.75" hidden="1" customHeight="1">
      <c r="A195" s="25"/>
      <c r="B195" s="25"/>
      <c r="C195" s="54"/>
      <c r="D195" s="55"/>
      <c r="E195" s="55"/>
      <c r="F195" s="55"/>
      <c r="G195" s="28"/>
      <c r="H195" s="29"/>
      <c r="I195" s="29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5.75" hidden="1" customHeight="1">
      <c r="A196" s="25"/>
      <c r="B196" s="25"/>
      <c r="C196" s="54"/>
      <c r="D196" s="55"/>
      <c r="E196" s="55"/>
      <c r="F196" s="55"/>
      <c r="G196" s="28"/>
      <c r="H196" s="29"/>
      <c r="I196" s="29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5.75" hidden="1" customHeight="1">
      <c r="A197" s="25"/>
      <c r="B197" s="25"/>
      <c r="C197" s="54"/>
      <c r="D197" s="55"/>
      <c r="E197" s="55"/>
      <c r="F197" s="55"/>
      <c r="G197" s="28"/>
      <c r="H197" s="29"/>
      <c r="I197" s="29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5.75" hidden="1" customHeight="1">
      <c r="A198" s="25"/>
      <c r="B198" s="25"/>
      <c r="C198" s="54"/>
      <c r="D198" s="55"/>
      <c r="E198" s="55"/>
      <c r="F198" s="55"/>
      <c r="G198" s="28"/>
      <c r="H198" s="29"/>
      <c r="I198" s="29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5.75" hidden="1" customHeight="1">
      <c r="A199" s="25"/>
      <c r="B199" s="25"/>
      <c r="C199" s="54"/>
      <c r="D199" s="55"/>
      <c r="E199" s="55"/>
      <c r="F199" s="55"/>
      <c r="G199" s="28"/>
      <c r="H199" s="29"/>
      <c r="I199" s="29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5.75" hidden="1" customHeight="1">
      <c r="A200" s="25"/>
      <c r="B200" s="25"/>
      <c r="C200" s="54"/>
      <c r="D200" s="55"/>
      <c r="E200" s="55"/>
      <c r="F200" s="55"/>
      <c r="G200" s="28"/>
      <c r="H200" s="29"/>
      <c r="I200" s="29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5.75" hidden="1" customHeight="1">
      <c r="A201" s="25"/>
      <c r="B201" s="25"/>
      <c r="C201" s="54"/>
      <c r="D201" s="55"/>
      <c r="E201" s="55"/>
      <c r="F201" s="55"/>
      <c r="G201" s="28"/>
      <c r="H201" s="29"/>
      <c r="I201" s="29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5.75" hidden="1" customHeight="1">
      <c r="A202" s="25"/>
      <c r="B202" s="25"/>
      <c r="C202" s="54"/>
      <c r="D202" s="55"/>
      <c r="E202" s="55"/>
      <c r="F202" s="55"/>
      <c r="G202" s="28"/>
      <c r="H202" s="29"/>
      <c r="I202" s="29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5.75" hidden="1" customHeight="1">
      <c r="A203" s="25"/>
      <c r="B203" s="25"/>
      <c r="C203" s="54"/>
      <c r="D203" s="55"/>
      <c r="E203" s="55"/>
      <c r="F203" s="55"/>
      <c r="G203" s="28"/>
      <c r="H203" s="29"/>
      <c r="I203" s="29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5.75" hidden="1" customHeight="1">
      <c r="A204" s="25"/>
      <c r="B204" s="25"/>
      <c r="C204" s="54"/>
      <c r="D204" s="55"/>
      <c r="E204" s="55"/>
      <c r="F204" s="55"/>
      <c r="G204" s="28"/>
      <c r="H204" s="29"/>
      <c r="I204" s="29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5.75" hidden="1" customHeight="1">
      <c r="A205" s="25"/>
      <c r="B205" s="25"/>
      <c r="C205" s="54"/>
      <c r="D205" s="55"/>
      <c r="E205" s="55"/>
      <c r="F205" s="55"/>
      <c r="G205" s="28"/>
      <c r="H205" s="29"/>
      <c r="I205" s="29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5.75" hidden="1" customHeight="1">
      <c r="A206" s="25"/>
      <c r="B206" s="25"/>
      <c r="C206" s="54"/>
      <c r="D206" s="55"/>
      <c r="E206" s="55"/>
      <c r="F206" s="55"/>
      <c r="G206" s="28"/>
      <c r="H206" s="29"/>
      <c r="I206" s="29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5.75" hidden="1" customHeight="1">
      <c r="A207" s="25"/>
      <c r="B207" s="25"/>
      <c r="C207" s="54"/>
      <c r="D207" s="55"/>
      <c r="E207" s="55"/>
      <c r="F207" s="55"/>
      <c r="G207" s="28"/>
      <c r="H207" s="29"/>
      <c r="I207" s="29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5.75" hidden="1" customHeight="1">
      <c r="A208" s="25"/>
      <c r="B208" s="25"/>
      <c r="C208" s="54"/>
      <c r="D208" s="55"/>
      <c r="E208" s="55"/>
      <c r="F208" s="55"/>
      <c r="G208" s="28"/>
      <c r="H208" s="29"/>
      <c r="I208" s="29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5.75" hidden="1" customHeight="1">
      <c r="A209" s="25"/>
      <c r="B209" s="25"/>
      <c r="C209" s="54"/>
      <c r="D209" s="55"/>
      <c r="E209" s="55"/>
      <c r="F209" s="55"/>
      <c r="G209" s="28"/>
      <c r="H209" s="29"/>
      <c r="I209" s="29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5.75" hidden="1" customHeight="1">
      <c r="A210" s="25"/>
      <c r="B210" s="25"/>
      <c r="C210" s="54"/>
      <c r="D210" s="55"/>
      <c r="E210" s="55"/>
      <c r="F210" s="55"/>
      <c r="G210" s="28"/>
      <c r="H210" s="29"/>
      <c r="I210" s="29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5.75" hidden="1" customHeight="1">
      <c r="A211" s="25"/>
      <c r="B211" s="25"/>
      <c r="C211" s="54"/>
      <c r="D211" s="55"/>
      <c r="E211" s="55"/>
      <c r="F211" s="55"/>
      <c r="G211" s="28"/>
      <c r="H211" s="29"/>
      <c r="I211" s="29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hidden="1" customHeight="1">
      <c r="A212" s="25"/>
      <c r="B212" s="25"/>
      <c r="C212" s="54"/>
      <c r="D212" s="55"/>
      <c r="E212" s="55"/>
      <c r="F212" s="55"/>
      <c r="G212" s="28"/>
      <c r="H212" s="29"/>
      <c r="I212" s="29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15.75" hidden="1" customHeight="1">
      <c r="A213" s="25"/>
      <c r="B213" s="25"/>
      <c r="C213" s="54"/>
      <c r="D213" s="55"/>
      <c r="E213" s="55"/>
      <c r="F213" s="55"/>
      <c r="G213" s="28"/>
      <c r="H213" s="29"/>
      <c r="I213" s="29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15.75" hidden="1" customHeight="1">
      <c r="A214" s="25"/>
      <c r="B214" s="25"/>
      <c r="C214" s="54"/>
      <c r="D214" s="55"/>
      <c r="E214" s="55"/>
      <c r="F214" s="55"/>
      <c r="G214" s="28"/>
      <c r="H214" s="29"/>
      <c r="I214" s="29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ht="15.75" hidden="1" customHeight="1">
      <c r="A215" s="25"/>
      <c r="B215" s="25"/>
      <c r="C215" s="54"/>
      <c r="D215" s="55"/>
      <c r="E215" s="55"/>
      <c r="F215" s="55"/>
      <c r="G215" s="28"/>
      <c r="H215" s="29"/>
      <c r="I215" s="29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15.75" hidden="1" customHeight="1">
      <c r="A216" s="25"/>
      <c r="B216" s="25"/>
      <c r="C216" s="54"/>
      <c r="D216" s="55"/>
      <c r="E216" s="55"/>
      <c r="F216" s="55"/>
      <c r="G216" s="28"/>
      <c r="H216" s="29"/>
      <c r="I216" s="29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15.75" hidden="1" customHeight="1">
      <c r="A217" s="25"/>
      <c r="B217" s="25"/>
      <c r="C217" s="54"/>
      <c r="D217" s="55"/>
      <c r="E217" s="55"/>
      <c r="F217" s="55"/>
      <c r="G217" s="28"/>
      <c r="H217" s="29"/>
      <c r="I217" s="29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ht="15.75" hidden="1" customHeight="1">
      <c r="A218" s="25"/>
      <c r="B218" s="25"/>
      <c r="C218" s="54"/>
      <c r="D218" s="55"/>
      <c r="E218" s="55"/>
      <c r="F218" s="55"/>
      <c r="G218" s="28"/>
      <c r="H218" s="29"/>
      <c r="I218" s="29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15.75" hidden="1" customHeight="1">
      <c r="A219" s="25"/>
      <c r="B219" s="25"/>
      <c r="C219" s="54"/>
      <c r="D219" s="55"/>
      <c r="E219" s="55"/>
      <c r="F219" s="55"/>
      <c r="G219" s="28"/>
      <c r="H219" s="29"/>
      <c r="I219" s="29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15.75" hidden="1" customHeight="1">
      <c r="A220" s="25"/>
      <c r="B220" s="25"/>
      <c r="C220" s="54"/>
      <c r="D220" s="55"/>
      <c r="E220" s="55"/>
      <c r="F220" s="55"/>
      <c r="G220" s="28"/>
      <c r="H220" s="29"/>
      <c r="I220" s="29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15.75" hidden="1" customHeight="1">
      <c r="A221" s="25"/>
      <c r="B221" s="25"/>
      <c r="C221" s="54"/>
      <c r="D221" s="55"/>
      <c r="E221" s="55"/>
      <c r="F221" s="55"/>
      <c r="G221" s="28"/>
      <c r="H221" s="29"/>
      <c r="I221" s="29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15.75" hidden="1" customHeight="1">
      <c r="A222" s="25"/>
      <c r="B222" s="25"/>
      <c r="C222" s="54"/>
      <c r="D222" s="55"/>
      <c r="E222" s="55"/>
      <c r="F222" s="55"/>
      <c r="G222" s="28"/>
      <c r="H222" s="29"/>
      <c r="I222" s="29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15.75" hidden="1" customHeight="1">
      <c r="A223" s="25"/>
      <c r="B223" s="25"/>
      <c r="C223" s="54"/>
      <c r="D223" s="55"/>
      <c r="E223" s="55"/>
      <c r="F223" s="55"/>
      <c r="G223" s="28"/>
      <c r="H223" s="29"/>
      <c r="I223" s="29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ht="15.75" hidden="1" customHeight="1">
      <c r="A224" s="25"/>
      <c r="B224" s="25"/>
      <c r="C224" s="54"/>
      <c r="D224" s="55"/>
      <c r="E224" s="55"/>
      <c r="F224" s="55"/>
      <c r="G224" s="28"/>
      <c r="H224" s="29"/>
      <c r="I224" s="29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15.75" hidden="1" customHeight="1">
      <c r="A225" s="25"/>
      <c r="B225" s="25"/>
      <c r="C225" s="54"/>
      <c r="D225" s="55"/>
      <c r="E225" s="55"/>
      <c r="F225" s="55"/>
      <c r="G225" s="28"/>
      <c r="H225" s="29"/>
      <c r="I225" s="29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ht="15.75" hidden="1" customHeight="1">
      <c r="A226" s="25"/>
      <c r="B226" s="25"/>
      <c r="C226" s="54"/>
      <c r="D226" s="55"/>
      <c r="E226" s="55"/>
      <c r="F226" s="55"/>
      <c r="G226" s="28"/>
      <c r="H226" s="29"/>
      <c r="I226" s="29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15.75" hidden="1" customHeight="1">
      <c r="A227" s="25"/>
      <c r="B227" s="25"/>
      <c r="C227" s="54"/>
      <c r="D227" s="55"/>
      <c r="E227" s="55"/>
      <c r="F227" s="55"/>
      <c r="G227" s="28"/>
      <c r="H227" s="29"/>
      <c r="I227" s="29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15.75" hidden="1" customHeight="1">
      <c r="A228" s="25"/>
      <c r="B228" s="25"/>
      <c r="C228" s="54"/>
      <c r="D228" s="55"/>
      <c r="E228" s="55"/>
      <c r="F228" s="55"/>
      <c r="G228" s="28"/>
      <c r="H228" s="29"/>
      <c r="I228" s="29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15.75" hidden="1" customHeight="1">
      <c r="A229" s="25"/>
      <c r="B229" s="25"/>
      <c r="C229" s="54"/>
      <c r="D229" s="55"/>
      <c r="E229" s="55"/>
      <c r="F229" s="55"/>
      <c r="G229" s="28"/>
      <c r="H229" s="29"/>
      <c r="I229" s="29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ht="15.75" hidden="1" customHeight="1">
      <c r="A230" s="25"/>
      <c r="B230" s="25"/>
      <c r="C230" s="54"/>
      <c r="D230" s="55"/>
      <c r="E230" s="55"/>
      <c r="F230" s="55"/>
      <c r="G230" s="28"/>
      <c r="H230" s="29"/>
      <c r="I230" s="29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15.75" hidden="1" customHeight="1">
      <c r="A231" s="25"/>
      <c r="B231" s="25"/>
      <c r="C231" s="54"/>
      <c r="D231" s="55"/>
      <c r="E231" s="55"/>
      <c r="F231" s="55"/>
      <c r="G231" s="28"/>
      <c r="H231" s="29"/>
      <c r="I231" s="29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ht="15.75" hidden="1" customHeight="1">
      <c r="A232" s="25"/>
      <c r="B232" s="25"/>
      <c r="C232" s="54"/>
      <c r="D232" s="55"/>
      <c r="E232" s="55"/>
      <c r="F232" s="55"/>
      <c r="G232" s="28"/>
      <c r="H232" s="29"/>
      <c r="I232" s="29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ht="15.75" hidden="1" customHeight="1">
      <c r="A233" s="25"/>
      <c r="B233" s="25"/>
      <c r="C233" s="54"/>
      <c r="D233" s="55"/>
      <c r="E233" s="55"/>
      <c r="F233" s="55"/>
      <c r="G233" s="28"/>
      <c r="H233" s="29"/>
      <c r="I233" s="29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15.75" hidden="1" customHeight="1">
      <c r="A234" s="25"/>
      <c r="B234" s="25"/>
      <c r="C234" s="54"/>
      <c r="D234" s="55"/>
      <c r="E234" s="55"/>
      <c r="F234" s="55"/>
      <c r="G234" s="28"/>
      <c r="H234" s="29"/>
      <c r="I234" s="29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15.75" hidden="1" customHeight="1">
      <c r="A235" s="25"/>
      <c r="B235" s="25"/>
      <c r="C235" s="54"/>
      <c r="D235" s="55"/>
      <c r="E235" s="55"/>
      <c r="F235" s="55"/>
      <c r="G235" s="28"/>
      <c r="H235" s="29"/>
      <c r="I235" s="29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3">
    <mergeCell ref="D16:F16"/>
    <mergeCell ref="C25:F25"/>
    <mergeCell ref="E35:G35"/>
  </mergeCells>
  <hyperlinks>
    <hyperlink ref="C5" r:id="rId1"/>
    <hyperlink ref="C6" r:id="rId2"/>
  </hyperlinks>
  <pageMargins left="0.7" right="0.7" top="0.75" bottom="0.75" header="0" footer="0"/>
  <pageSetup paperSize="9" orientation="portrait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BDAB"/>
    <pageSetUpPr fitToPage="1"/>
  </sheetPr>
  <dimension ref="A1:AS1000"/>
  <sheetViews>
    <sheetView showGridLines="0" workbookViewId="0">
      <selection activeCell="E222" sqref="E222"/>
    </sheetView>
  </sheetViews>
  <sheetFormatPr defaultColWidth="14.44140625" defaultRowHeight="15" customHeight="1" outlineLevelCol="1"/>
  <cols>
    <col min="1" max="1" width="2.6640625" customWidth="1"/>
    <col min="2" max="2" width="4.109375" customWidth="1"/>
    <col min="3" max="3" width="49" customWidth="1"/>
    <col min="4" max="4" width="14.109375" customWidth="1"/>
    <col min="5" max="5" width="14.5546875" customWidth="1"/>
    <col min="6" max="7" width="15" customWidth="1"/>
    <col min="8" max="8" width="13.88671875" customWidth="1"/>
    <col min="9" max="10" width="15" customWidth="1"/>
    <col min="11" max="14" width="13.88671875" customWidth="1"/>
    <col min="15" max="15" width="14" customWidth="1"/>
    <col min="16" max="31" width="14" customWidth="1" outlineLevel="1"/>
    <col min="32" max="32" width="4.109375" customWidth="1"/>
    <col min="33" max="33" width="2.6640625" customWidth="1"/>
    <col min="34" max="43" width="11.5546875" hidden="1" customWidth="1"/>
    <col min="44" max="44" width="3.5546875" hidden="1" customWidth="1"/>
    <col min="45" max="45" width="4.109375" hidden="1" customWidth="1"/>
  </cols>
  <sheetData>
    <row r="1" spans="1:45" ht="7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</row>
    <row r="2" spans="1:45" ht="27" customHeight="1">
      <c r="A2" s="29"/>
      <c r="B2" s="56" t="s">
        <v>3</v>
      </c>
      <c r="C2" s="57"/>
      <c r="D2" s="57"/>
      <c r="E2" s="57"/>
      <c r="F2" s="57"/>
      <c r="G2" s="57"/>
      <c r="H2" s="57"/>
      <c r="I2" s="57"/>
      <c r="J2" s="57"/>
      <c r="K2" s="57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9"/>
      <c r="AG2" s="29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5" ht="27" customHeight="1">
      <c r="A3" s="29"/>
      <c r="B3" s="60"/>
      <c r="C3" s="61"/>
      <c r="D3" s="61"/>
      <c r="E3" s="220"/>
      <c r="F3" s="221"/>
      <c r="G3" s="221"/>
      <c r="H3" s="221"/>
      <c r="I3" s="221"/>
      <c r="J3" s="221"/>
      <c r="K3" s="221"/>
      <c r="L3" s="221"/>
      <c r="M3" s="221"/>
      <c r="N3" s="22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3"/>
      <c r="AG3" s="29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</row>
    <row r="4" spans="1:45" ht="28.5" customHeight="1">
      <c r="A4" s="29"/>
      <c r="B4" s="60"/>
      <c r="C4" s="61"/>
      <c r="D4" s="61"/>
      <c r="E4" s="223"/>
      <c r="F4" s="224"/>
      <c r="G4" s="224"/>
      <c r="H4" s="224"/>
      <c r="I4" s="224"/>
      <c r="J4" s="224"/>
      <c r="K4" s="224"/>
      <c r="L4" s="224"/>
      <c r="M4" s="224"/>
      <c r="N4" s="225"/>
      <c r="O4" s="62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5"/>
      <c r="AG4" s="29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5"/>
    </row>
    <row r="5" spans="1:45" ht="22.5" customHeight="1">
      <c r="A5" s="29"/>
      <c r="B5" s="60"/>
      <c r="C5" s="61"/>
      <c r="D5" s="61"/>
      <c r="E5" s="61"/>
      <c r="F5" s="61"/>
      <c r="G5" s="61"/>
      <c r="H5" s="61"/>
      <c r="I5" s="61"/>
      <c r="J5" s="61"/>
      <c r="K5" s="61"/>
      <c r="L5" s="226">
        <v>2003</v>
      </c>
      <c r="M5" s="218"/>
      <c r="N5" s="219"/>
      <c r="O5" s="66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5"/>
      <c r="AG5" s="29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5"/>
    </row>
    <row r="6" spans="1:45" ht="22.5" customHeight="1">
      <c r="A6" s="29"/>
      <c r="B6" s="67"/>
      <c r="C6" s="68" t="s">
        <v>107</v>
      </c>
      <c r="D6" s="69">
        <v>1</v>
      </c>
      <c r="E6" s="69">
        <v>2</v>
      </c>
      <c r="F6" s="69">
        <v>3</v>
      </c>
      <c r="G6" s="69">
        <v>4</v>
      </c>
      <c r="H6" s="69">
        <v>5</v>
      </c>
      <c r="I6" s="69">
        <v>6</v>
      </c>
      <c r="J6" s="69">
        <v>7</v>
      </c>
      <c r="K6" s="69">
        <v>8</v>
      </c>
      <c r="L6" s="69">
        <v>9</v>
      </c>
      <c r="M6" s="69">
        <v>10</v>
      </c>
      <c r="N6" s="69">
        <v>11</v>
      </c>
      <c r="O6" s="69">
        <v>12</v>
      </c>
      <c r="P6" s="69">
        <v>13</v>
      </c>
      <c r="Q6" s="69">
        <v>14</v>
      </c>
      <c r="R6" s="69">
        <v>15</v>
      </c>
      <c r="S6" s="69">
        <v>16</v>
      </c>
      <c r="T6" s="69">
        <v>17</v>
      </c>
      <c r="U6" s="69">
        <v>18</v>
      </c>
      <c r="V6" s="69">
        <v>19</v>
      </c>
      <c r="W6" s="69">
        <v>20</v>
      </c>
      <c r="X6" s="69">
        <v>21</v>
      </c>
      <c r="Y6" s="69">
        <v>22</v>
      </c>
      <c r="Z6" s="69">
        <v>23</v>
      </c>
      <c r="AA6" s="69">
        <v>24</v>
      </c>
      <c r="AB6" s="70"/>
      <c r="AC6" s="70" t="s">
        <v>108</v>
      </c>
      <c r="AD6" s="70" t="s">
        <v>110</v>
      </c>
      <c r="AE6" s="70" t="s">
        <v>109</v>
      </c>
      <c r="AF6" s="71"/>
      <c r="AG6" s="29"/>
      <c r="AH6" s="72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4"/>
    </row>
    <row r="7" spans="1:45" ht="15.75" customHeight="1">
      <c r="A7" s="29"/>
      <c r="B7" s="67"/>
      <c r="C7" s="75" t="str">
        <f>'Tech sheet'!C11</f>
        <v>Number of working days per month</v>
      </c>
      <c r="D7" s="76">
        <f>'Tech sheet'!$D$11</f>
        <v>30</v>
      </c>
      <c r="E7" s="76">
        <f>'Tech sheet'!$D$11</f>
        <v>30</v>
      </c>
      <c r="F7" s="76">
        <f>'Tech sheet'!$D$11</f>
        <v>30</v>
      </c>
      <c r="G7" s="76">
        <f>'Tech sheet'!$D$11</f>
        <v>30</v>
      </c>
      <c r="H7" s="76">
        <f>'Tech sheet'!$D$11</f>
        <v>30</v>
      </c>
      <c r="I7" s="76">
        <f>'Tech sheet'!$D$11</f>
        <v>30</v>
      </c>
      <c r="J7" s="76">
        <f>'Tech sheet'!$D$11</f>
        <v>30</v>
      </c>
      <c r="K7" s="76">
        <f>'Tech sheet'!$D$11</f>
        <v>30</v>
      </c>
      <c r="L7" s="76">
        <f>'Tech sheet'!$D$11</f>
        <v>30</v>
      </c>
      <c r="M7" s="76">
        <f>'Tech sheet'!$D$11</f>
        <v>30</v>
      </c>
      <c r="N7" s="76">
        <f>'Tech sheet'!$D$11</f>
        <v>30</v>
      </c>
      <c r="O7" s="76">
        <f>'Tech sheet'!$D$11</f>
        <v>30</v>
      </c>
      <c r="P7" s="76">
        <f>'Tech sheet'!$D$11</f>
        <v>30</v>
      </c>
      <c r="Q7" s="76">
        <f>'Tech sheet'!$D$11</f>
        <v>30</v>
      </c>
      <c r="R7" s="76">
        <f>'Tech sheet'!$D$11</f>
        <v>30</v>
      </c>
      <c r="S7" s="76">
        <f>'Tech sheet'!$D$11</f>
        <v>30</v>
      </c>
      <c r="T7" s="76">
        <f>'Tech sheet'!$D$11</f>
        <v>30</v>
      </c>
      <c r="U7" s="76">
        <f>'Tech sheet'!$D$11</f>
        <v>30</v>
      </c>
      <c r="V7" s="76">
        <f>'Tech sheet'!$D$11</f>
        <v>30</v>
      </c>
      <c r="W7" s="76">
        <f>'Tech sheet'!$D$11</f>
        <v>30</v>
      </c>
      <c r="X7" s="76">
        <f>'Tech sheet'!$D$11</f>
        <v>30</v>
      </c>
      <c r="Y7" s="76">
        <f>'Tech sheet'!$D$11</f>
        <v>30</v>
      </c>
      <c r="Z7" s="76">
        <f>'Tech sheet'!$D$11</f>
        <v>30</v>
      </c>
      <c r="AA7" s="76">
        <f>'Tech sheet'!$D$11</f>
        <v>30</v>
      </c>
      <c r="AB7" s="77"/>
      <c r="AC7" s="76">
        <f>AA7</f>
        <v>30</v>
      </c>
      <c r="AD7" s="76">
        <f>AC7</f>
        <v>30</v>
      </c>
      <c r="AE7" s="76">
        <f>AD7</f>
        <v>30</v>
      </c>
      <c r="AF7" s="78"/>
      <c r="AG7" s="29"/>
      <c r="AH7" s="79" t="e">
        <f t="shared" ref="AH7:AR7" si="0">IF(#REF!=100,18,IF(#REF!=150,24,IF(#REF!=200,29,IF(#REF!=250,31,IF(#REF!&gt;250,32,0)))))</f>
        <v>#REF!</v>
      </c>
      <c r="AI7" s="80" t="e">
        <f t="shared" si="0"/>
        <v>#REF!</v>
      </c>
      <c r="AJ7" s="80" t="e">
        <f t="shared" si="0"/>
        <v>#REF!</v>
      </c>
      <c r="AK7" s="80" t="e">
        <f t="shared" si="0"/>
        <v>#REF!</v>
      </c>
      <c r="AL7" s="80" t="e">
        <f t="shared" si="0"/>
        <v>#REF!</v>
      </c>
      <c r="AM7" s="80" t="e">
        <f t="shared" si="0"/>
        <v>#REF!</v>
      </c>
      <c r="AN7" s="80" t="e">
        <f t="shared" si="0"/>
        <v>#REF!</v>
      </c>
      <c r="AO7" s="80" t="e">
        <f t="shared" si="0"/>
        <v>#REF!</v>
      </c>
      <c r="AP7" s="80" t="e">
        <f t="shared" si="0"/>
        <v>#REF!</v>
      </c>
      <c r="AQ7" s="80" t="e">
        <f t="shared" si="0"/>
        <v>#REF!</v>
      </c>
      <c r="AR7" s="80" t="e">
        <f t="shared" si="0"/>
        <v>#REF!</v>
      </c>
      <c r="AS7" s="74"/>
    </row>
    <row r="8" spans="1:45" ht="15.75" customHeight="1">
      <c r="A8" s="29"/>
      <c r="B8" s="67"/>
      <c r="C8" s="75" t="str">
        <f>'Tech sheet'!C12</f>
        <v>Working time, hours / day</v>
      </c>
      <c r="D8" s="76">
        <f>'Tech sheet'!$D$12</f>
        <v>12</v>
      </c>
      <c r="E8" s="76">
        <f>'Tech sheet'!$D$12</f>
        <v>12</v>
      </c>
      <c r="F8" s="76">
        <f>'Tech sheet'!$D$12</f>
        <v>12</v>
      </c>
      <c r="G8" s="76">
        <f>'Tech sheet'!$D$12</f>
        <v>12</v>
      </c>
      <c r="H8" s="76">
        <f>'Tech sheet'!$D$12</f>
        <v>12</v>
      </c>
      <c r="I8" s="76">
        <f>'Tech sheet'!$D$12</f>
        <v>12</v>
      </c>
      <c r="J8" s="76">
        <f>'Tech sheet'!$D$12</f>
        <v>12</v>
      </c>
      <c r="K8" s="76">
        <f>'Tech sheet'!$D$12</f>
        <v>12</v>
      </c>
      <c r="L8" s="76">
        <f>'Tech sheet'!$D$12</f>
        <v>12</v>
      </c>
      <c r="M8" s="76">
        <f>'Tech sheet'!$D$12</f>
        <v>12</v>
      </c>
      <c r="N8" s="76">
        <f>'Tech sheet'!$D$12</f>
        <v>12</v>
      </c>
      <c r="O8" s="76">
        <f>'Tech sheet'!$D$12</f>
        <v>12</v>
      </c>
      <c r="P8" s="76">
        <f>'Tech sheet'!$D$12</f>
        <v>12</v>
      </c>
      <c r="Q8" s="76">
        <f>'Tech sheet'!$D$12</f>
        <v>12</v>
      </c>
      <c r="R8" s="76">
        <f>'Tech sheet'!$D$12</f>
        <v>12</v>
      </c>
      <c r="S8" s="76">
        <f>'Tech sheet'!$D$12</f>
        <v>12</v>
      </c>
      <c r="T8" s="76">
        <f>'Tech sheet'!$D$12</f>
        <v>12</v>
      </c>
      <c r="U8" s="76">
        <f>'Tech sheet'!$D$12</f>
        <v>12</v>
      </c>
      <c r="V8" s="76">
        <f>'Tech sheet'!$D$12</f>
        <v>12</v>
      </c>
      <c r="W8" s="76">
        <f>'Tech sheet'!$D$12</f>
        <v>12</v>
      </c>
      <c r="X8" s="76">
        <f>'Tech sheet'!$D$12</f>
        <v>12</v>
      </c>
      <c r="Y8" s="76">
        <f>'Tech sheet'!$D$12</f>
        <v>12</v>
      </c>
      <c r="Z8" s="76">
        <f>'Tech sheet'!$D$12</f>
        <v>12</v>
      </c>
      <c r="AA8" s="76">
        <f>'Tech sheet'!$D$12</f>
        <v>12</v>
      </c>
      <c r="AB8" s="77"/>
      <c r="AC8" s="76">
        <f>AA8</f>
        <v>12</v>
      </c>
      <c r="AD8" s="76">
        <f>AC8</f>
        <v>12</v>
      </c>
      <c r="AE8" s="76">
        <f>AD8</f>
        <v>12</v>
      </c>
      <c r="AF8" s="81"/>
      <c r="AG8" s="29"/>
      <c r="AH8" s="82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74"/>
    </row>
    <row r="9" spans="1:45" ht="15.75" customHeight="1">
      <c r="A9" s="29"/>
      <c r="B9" s="67"/>
      <c r="C9" s="84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1"/>
      <c r="AG9" s="29"/>
      <c r="AH9" s="82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74"/>
    </row>
    <row r="10" spans="1:45" ht="15.75" customHeight="1">
      <c r="A10" s="29"/>
      <c r="B10" s="67"/>
      <c r="C10" s="86" t="s">
        <v>106</v>
      </c>
      <c r="D10" s="87">
        <f>'Tech sheet'!I13</f>
        <v>0.05</v>
      </c>
      <c r="E10" s="87">
        <f t="shared" ref="E10:N10" si="1">((($O$10-$D$10)/10)+D10)</f>
        <v>8.5000000000000006E-2</v>
      </c>
      <c r="F10" s="87">
        <f t="shared" si="1"/>
        <v>0.12000000000000001</v>
      </c>
      <c r="G10" s="87">
        <f t="shared" si="1"/>
        <v>0.15500000000000003</v>
      </c>
      <c r="H10" s="87">
        <f t="shared" si="1"/>
        <v>0.19000000000000003</v>
      </c>
      <c r="I10" s="87">
        <f t="shared" si="1"/>
        <v>0.22500000000000003</v>
      </c>
      <c r="J10" s="87">
        <f t="shared" si="1"/>
        <v>0.26</v>
      </c>
      <c r="K10" s="87">
        <f t="shared" si="1"/>
        <v>0.29500000000000004</v>
      </c>
      <c r="L10" s="87">
        <f t="shared" si="1"/>
        <v>0.33000000000000007</v>
      </c>
      <c r="M10" s="87">
        <f t="shared" si="1"/>
        <v>0.3650000000000001</v>
      </c>
      <c r="N10" s="87">
        <f t="shared" si="1"/>
        <v>0.40000000000000013</v>
      </c>
      <c r="O10" s="87">
        <f>'Tech sheet'!H16</f>
        <v>0.4</v>
      </c>
      <c r="P10" s="87">
        <f t="shared" ref="P10:Z10" si="2">((($AA$10-$O$10)/11)+O10)</f>
        <v>0.41818181818181821</v>
      </c>
      <c r="Q10" s="87">
        <f t="shared" si="2"/>
        <v>0.4363636363636364</v>
      </c>
      <c r="R10" s="87">
        <f t="shared" si="2"/>
        <v>0.45454545454545459</v>
      </c>
      <c r="S10" s="87">
        <f t="shared" si="2"/>
        <v>0.47272727272727277</v>
      </c>
      <c r="T10" s="87">
        <f t="shared" si="2"/>
        <v>0.49090909090909096</v>
      </c>
      <c r="U10" s="87">
        <f t="shared" si="2"/>
        <v>0.50909090909090915</v>
      </c>
      <c r="V10" s="87">
        <f t="shared" si="2"/>
        <v>0.52727272727272734</v>
      </c>
      <c r="W10" s="87">
        <f t="shared" si="2"/>
        <v>0.54545454545454553</v>
      </c>
      <c r="X10" s="87">
        <f t="shared" si="2"/>
        <v>0.56363636363636371</v>
      </c>
      <c r="Y10" s="87">
        <f t="shared" si="2"/>
        <v>0.5818181818181819</v>
      </c>
      <c r="Z10" s="87">
        <f t="shared" si="2"/>
        <v>0.60000000000000009</v>
      </c>
      <c r="AA10" s="87">
        <f>'Tech sheet'!$J$16</f>
        <v>0.60000000000000009</v>
      </c>
      <c r="AB10" s="88"/>
      <c r="AC10" s="88">
        <f>((($AE$10-$AA$10)/3)+AA10)</f>
        <v>0.63333333333333341</v>
      </c>
      <c r="AD10" s="88">
        <f>((($AE$10-$AA$10)/3)+AC10)</f>
        <v>0.66666666666666674</v>
      </c>
      <c r="AE10" s="88">
        <f>AA10+10%</f>
        <v>0.70000000000000007</v>
      </c>
      <c r="AF10" s="81"/>
      <c r="AG10" s="29"/>
      <c r="AH10" s="82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74"/>
    </row>
    <row r="11" spans="1:45" ht="15.75" customHeight="1">
      <c r="A11" s="29"/>
      <c r="B11" s="67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1"/>
      <c r="AG11" s="29"/>
      <c r="AH11" s="90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74"/>
    </row>
    <row r="12" spans="1:45" ht="15.75" customHeight="1">
      <c r="A12" s="29"/>
      <c r="B12" s="67"/>
      <c r="C12" s="75" t="str">
        <f>'Tech sheet'!C19</f>
        <v xml:space="preserve">Average players per day </v>
      </c>
      <c r="D12" s="77">
        <f>INT('Tech sheet'!$D$15*D10)</f>
        <v>6</v>
      </c>
      <c r="E12" s="77">
        <f>INT('Tech sheet'!$D$15*E10)</f>
        <v>10</v>
      </c>
      <c r="F12" s="77">
        <f>INT('Tech sheet'!$D$15*F10)</f>
        <v>14</v>
      </c>
      <c r="G12" s="77">
        <f>INT('Tech sheet'!$D$15*G10)</f>
        <v>18</v>
      </c>
      <c r="H12" s="77">
        <f>INT('Tech sheet'!$D$15*H10)</f>
        <v>22</v>
      </c>
      <c r="I12" s="77">
        <f>INT('Tech sheet'!$D$15*I10)</f>
        <v>27</v>
      </c>
      <c r="J12" s="77">
        <f>INT('Tech sheet'!$D$15*J10)</f>
        <v>31</v>
      </c>
      <c r="K12" s="77">
        <f>INT('Tech sheet'!$D$15*K10)</f>
        <v>35</v>
      </c>
      <c r="L12" s="77">
        <f>INT('Tech sheet'!$D$15*L10)</f>
        <v>39</v>
      </c>
      <c r="M12" s="77">
        <f>INT('Tech sheet'!$D$15*M10)</f>
        <v>43</v>
      </c>
      <c r="N12" s="77">
        <f>INT('Tech sheet'!$D$15*N10)</f>
        <v>48</v>
      </c>
      <c r="O12" s="77">
        <f>INT('Tech sheet'!$D$15*O10)</f>
        <v>48</v>
      </c>
      <c r="P12" s="77">
        <f>INT('Tech sheet'!$D$15*P10)</f>
        <v>50</v>
      </c>
      <c r="Q12" s="77">
        <f>INT('Tech sheet'!$D$15*Q10)</f>
        <v>52</v>
      </c>
      <c r="R12" s="77">
        <f>INT('Tech sheet'!$D$15*R10)</f>
        <v>54</v>
      </c>
      <c r="S12" s="77">
        <f>INT('Tech sheet'!$D$15*S10)</f>
        <v>56</v>
      </c>
      <c r="T12" s="77">
        <f>INT('Tech sheet'!$D$15*T10)</f>
        <v>58</v>
      </c>
      <c r="U12" s="77">
        <f>INT('Tech sheet'!$D$15*U10)</f>
        <v>61</v>
      </c>
      <c r="V12" s="77">
        <f>INT('Tech sheet'!$D$15*V10)</f>
        <v>63</v>
      </c>
      <c r="W12" s="77">
        <f>INT('Tech sheet'!$D$15*W10)</f>
        <v>65</v>
      </c>
      <c r="X12" s="77">
        <f>INT('Tech sheet'!$D$15*X10)</f>
        <v>67</v>
      </c>
      <c r="Y12" s="77">
        <f>INT('Tech sheet'!$D$15*Y10)</f>
        <v>69</v>
      </c>
      <c r="Z12" s="77">
        <f>INT('Tech sheet'!$D$15*Z10)</f>
        <v>72</v>
      </c>
      <c r="AA12" s="77">
        <f>INT('Tech sheet'!$D$15*AA10)</f>
        <v>72</v>
      </c>
      <c r="AB12" s="77"/>
      <c r="AC12" s="77">
        <f>INT('Tech sheet'!$D$15*AC10)</f>
        <v>76</v>
      </c>
      <c r="AD12" s="77">
        <f>INT('Tech sheet'!$D$15*AD10)</f>
        <v>80</v>
      </c>
      <c r="AE12" s="77">
        <f>INT('Tech sheet'!$D$15*AE10)</f>
        <v>84</v>
      </c>
      <c r="AF12" s="92"/>
      <c r="AG12" s="29"/>
      <c r="AH12" s="93" t="e">
        <f t="shared" ref="AH12:AR12" si="3">IF(#REF!=6,AH11*#REF!,IF(#REF!=5,AH11*#REF!,IF(#REF!=4,AH11*#REF!,IF(#REF!=3,AH11*0,IF(#REF!=2,AH11*0,IF(#REF!=1,AH11*#REF!,0))))))</f>
        <v>#REF!</v>
      </c>
      <c r="AI12" s="94" t="e">
        <f t="shared" si="3"/>
        <v>#REF!</v>
      </c>
      <c r="AJ12" s="94" t="e">
        <f t="shared" si="3"/>
        <v>#REF!</v>
      </c>
      <c r="AK12" s="94" t="e">
        <f t="shared" si="3"/>
        <v>#REF!</v>
      </c>
      <c r="AL12" s="94" t="e">
        <f t="shared" si="3"/>
        <v>#REF!</v>
      </c>
      <c r="AM12" s="94" t="e">
        <f t="shared" si="3"/>
        <v>#REF!</v>
      </c>
      <c r="AN12" s="94" t="e">
        <f t="shared" si="3"/>
        <v>#REF!</v>
      </c>
      <c r="AO12" s="94" t="e">
        <f t="shared" si="3"/>
        <v>#REF!</v>
      </c>
      <c r="AP12" s="94" t="e">
        <f t="shared" si="3"/>
        <v>#REF!</v>
      </c>
      <c r="AQ12" s="94" t="e">
        <f t="shared" si="3"/>
        <v>#REF!</v>
      </c>
      <c r="AR12" s="94" t="e">
        <f t="shared" si="3"/>
        <v>#REF!</v>
      </c>
      <c r="AS12" s="74"/>
    </row>
    <row r="13" spans="1:45" ht="15.75" customHeight="1">
      <c r="A13" s="29"/>
      <c r="B13" s="67"/>
      <c r="C13" s="75" t="str">
        <f>'Tech sheet'!C20</f>
        <v xml:space="preserve">Average players per month </v>
      </c>
      <c r="D13" s="76">
        <f>INT('Tech sheet'!$D$16*D10)</f>
        <v>180</v>
      </c>
      <c r="E13" s="76">
        <f>INT('Tech sheet'!$D$16*E10)</f>
        <v>306</v>
      </c>
      <c r="F13" s="76">
        <f>INT('Tech sheet'!$D$16*F10)</f>
        <v>432</v>
      </c>
      <c r="G13" s="76">
        <f>INT('Tech sheet'!$D$16*G10)</f>
        <v>558</v>
      </c>
      <c r="H13" s="76">
        <f>INT('Tech sheet'!$D$16*H10)</f>
        <v>684</v>
      </c>
      <c r="I13" s="76">
        <f>INT('Tech sheet'!$D$16*I10)</f>
        <v>810</v>
      </c>
      <c r="J13" s="76">
        <f>INT('Tech sheet'!$D$16*J10)</f>
        <v>936</v>
      </c>
      <c r="K13" s="76">
        <f>INT('Tech sheet'!$D$16*K10)</f>
        <v>1062</v>
      </c>
      <c r="L13" s="76">
        <f>INT('Tech sheet'!$D$16*L10)</f>
        <v>1188</v>
      </c>
      <c r="M13" s="76">
        <f>INT('Tech sheet'!$D$16*M10)</f>
        <v>1314</v>
      </c>
      <c r="N13" s="76">
        <f>INT('Tech sheet'!$D$16*N10)</f>
        <v>1440</v>
      </c>
      <c r="O13" s="76">
        <f>INT('Tech sheet'!$D$16*O10)</f>
        <v>1440</v>
      </c>
      <c r="P13" s="76">
        <f>INT('Tech sheet'!$D$16*P10)</f>
        <v>1505</v>
      </c>
      <c r="Q13" s="76">
        <f>INT('Tech sheet'!$D$16*Q10)</f>
        <v>1570</v>
      </c>
      <c r="R13" s="76">
        <f>INT('Tech sheet'!$D$16*R10)</f>
        <v>1636</v>
      </c>
      <c r="S13" s="76">
        <f>INT('Tech sheet'!$D$16*S10)</f>
        <v>1701</v>
      </c>
      <c r="T13" s="76">
        <f>INT('Tech sheet'!$D$16*T10)</f>
        <v>1767</v>
      </c>
      <c r="U13" s="76">
        <f>INT('Tech sheet'!$D$16*U10)</f>
        <v>1832</v>
      </c>
      <c r="V13" s="76">
        <f>INT('Tech sheet'!$D$16*V10)</f>
        <v>1898</v>
      </c>
      <c r="W13" s="76">
        <f>INT('Tech sheet'!$D$16*W10)</f>
        <v>1963</v>
      </c>
      <c r="X13" s="76">
        <f>INT('Tech sheet'!$D$16*X10)</f>
        <v>2029</v>
      </c>
      <c r="Y13" s="76">
        <f>INT('Tech sheet'!$D$16*Y10)</f>
        <v>2094</v>
      </c>
      <c r="Z13" s="76">
        <f>INT('Tech sheet'!$D$16*Z10)</f>
        <v>2160</v>
      </c>
      <c r="AA13" s="76">
        <f>INT('Tech sheet'!$D$16*AA10)</f>
        <v>2160</v>
      </c>
      <c r="AB13" s="76"/>
      <c r="AC13" s="76">
        <f>INT('Tech sheet'!$D$16*AC10)*12</f>
        <v>27360</v>
      </c>
      <c r="AD13" s="76">
        <f>INT('Tech sheet'!$D$16*AD10)*12</f>
        <v>28800</v>
      </c>
      <c r="AE13" s="76">
        <f>INT('Tech sheet'!$D$16*AE10)*12</f>
        <v>30240</v>
      </c>
      <c r="AF13" s="92"/>
      <c r="AG13" s="29"/>
      <c r="AH13" s="93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74"/>
    </row>
    <row r="14" spans="1:45" ht="15.75" customHeight="1">
      <c r="A14" s="29"/>
      <c r="B14" s="67"/>
      <c r="C14" s="75" t="str">
        <f>'Tech sheet'!C25</f>
        <v>Price per person for one game (USD)</v>
      </c>
      <c r="D14" s="76">
        <f>'Tech sheet'!$D$25</f>
        <v>20</v>
      </c>
      <c r="E14" s="76">
        <f>'Tech sheet'!$D$25</f>
        <v>20</v>
      </c>
      <c r="F14" s="76">
        <f>'Tech sheet'!$D$25</f>
        <v>20</v>
      </c>
      <c r="G14" s="76">
        <f>'Tech sheet'!$D$25</f>
        <v>20</v>
      </c>
      <c r="H14" s="76">
        <f>'Tech sheet'!$D$25</f>
        <v>20</v>
      </c>
      <c r="I14" s="76">
        <f>'Tech sheet'!$D$25</f>
        <v>20</v>
      </c>
      <c r="J14" s="76">
        <f>'Tech sheet'!$D$25</f>
        <v>20</v>
      </c>
      <c r="K14" s="76">
        <f>'Tech sheet'!$D$25</f>
        <v>20</v>
      </c>
      <c r="L14" s="76">
        <f>'Tech sheet'!$D$25</f>
        <v>20</v>
      </c>
      <c r="M14" s="76">
        <f>'Tech sheet'!$D$25</f>
        <v>20</v>
      </c>
      <c r="N14" s="76">
        <f>'Tech sheet'!$D$25</f>
        <v>20</v>
      </c>
      <c r="O14" s="76">
        <f>'Tech sheet'!$D$25</f>
        <v>20</v>
      </c>
      <c r="P14" s="76">
        <f>'Tech sheet'!$D$25</f>
        <v>20</v>
      </c>
      <c r="Q14" s="76">
        <f>'Tech sheet'!$D$25</f>
        <v>20</v>
      </c>
      <c r="R14" s="76">
        <f>'Tech sheet'!$D$25</f>
        <v>20</v>
      </c>
      <c r="S14" s="76">
        <f>'Tech sheet'!$D$25</f>
        <v>20</v>
      </c>
      <c r="T14" s="76">
        <f>'Tech sheet'!$D$25</f>
        <v>20</v>
      </c>
      <c r="U14" s="76">
        <f>'Tech sheet'!$D$25</f>
        <v>20</v>
      </c>
      <c r="V14" s="76">
        <f>'Tech sheet'!$D$25</f>
        <v>20</v>
      </c>
      <c r="W14" s="76">
        <f>'Tech sheet'!$D$25</f>
        <v>20</v>
      </c>
      <c r="X14" s="76">
        <f>'Tech sheet'!$D$25</f>
        <v>20</v>
      </c>
      <c r="Y14" s="76">
        <f>'Tech sheet'!$D$25</f>
        <v>20</v>
      </c>
      <c r="Z14" s="76">
        <f>'Tech sheet'!$D$25</f>
        <v>20</v>
      </c>
      <c r="AA14" s="76">
        <f>'Tech sheet'!$D$25</f>
        <v>20</v>
      </c>
      <c r="AB14" s="77"/>
      <c r="AC14" s="76">
        <f>'Tech sheet'!$D$25</f>
        <v>20</v>
      </c>
      <c r="AD14" s="76">
        <f>'Tech sheet'!$D$25</f>
        <v>20</v>
      </c>
      <c r="AE14" s="76">
        <f>'Tech sheet'!$D$25</f>
        <v>20</v>
      </c>
      <c r="AF14" s="92"/>
      <c r="AG14" s="29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74"/>
    </row>
    <row r="15" spans="1:45" ht="15.75" customHeight="1">
      <c r="A15" s="29"/>
      <c r="B15" s="67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92"/>
      <c r="AG15" s="29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74"/>
    </row>
    <row r="16" spans="1:45" ht="15.75" customHeight="1">
      <c r="A16" s="29"/>
      <c r="B16" s="67"/>
      <c r="C16" s="68" t="s">
        <v>113</v>
      </c>
      <c r="D16" s="96">
        <f>D14*D13</f>
        <v>3600</v>
      </c>
      <c r="E16" s="96">
        <f t="shared" ref="D16:AA16" si="4">E14*E13</f>
        <v>6120</v>
      </c>
      <c r="F16" s="96">
        <f t="shared" si="4"/>
        <v>8640</v>
      </c>
      <c r="G16" s="96">
        <f t="shared" si="4"/>
        <v>11160</v>
      </c>
      <c r="H16" s="96">
        <f t="shared" si="4"/>
        <v>13680</v>
      </c>
      <c r="I16" s="96">
        <f t="shared" si="4"/>
        <v>16200</v>
      </c>
      <c r="J16" s="96">
        <f t="shared" si="4"/>
        <v>18720</v>
      </c>
      <c r="K16" s="96">
        <f t="shared" si="4"/>
        <v>21240</v>
      </c>
      <c r="L16" s="96">
        <f t="shared" si="4"/>
        <v>23760</v>
      </c>
      <c r="M16" s="96">
        <f t="shared" si="4"/>
        <v>26280</v>
      </c>
      <c r="N16" s="96">
        <f t="shared" si="4"/>
        <v>28800</v>
      </c>
      <c r="O16" s="96">
        <f t="shared" si="4"/>
        <v>28800</v>
      </c>
      <c r="P16" s="96">
        <f t="shared" si="4"/>
        <v>30100</v>
      </c>
      <c r="Q16" s="96">
        <f t="shared" si="4"/>
        <v>31400</v>
      </c>
      <c r="R16" s="96">
        <f t="shared" si="4"/>
        <v>32720</v>
      </c>
      <c r="S16" s="96">
        <f t="shared" si="4"/>
        <v>34020</v>
      </c>
      <c r="T16" s="96">
        <f t="shared" si="4"/>
        <v>35340</v>
      </c>
      <c r="U16" s="96">
        <f t="shared" si="4"/>
        <v>36640</v>
      </c>
      <c r="V16" s="96">
        <f t="shared" si="4"/>
        <v>37960</v>
      </c>
      <c r="W16" s="96">
        <f t="shared" si="4"/>
        <v>39260</v>
      </c>
      <c r="X16" s="96">
        <f t="shared" si="4"/>
        <v>40580</v>
      </c>
      <c r="Y16" s="96">
        <f t="shared" si="4"/>
        <v>41880</v>
      </c>
      <c r="Z16" s="96">
        <f t="shared" si="4"/>
        <v>43200</v>
      </c>
      <c r="AA16" s="96">
        <f t="shared" si="4"/>
        <v>43200</v>
      </c>
      <c r="AB16" s="97"/>
      <c r="AC16" s="97">
        <f>AC14*AC13</f>
        <v>547200</v>
      </c>
      <c r="AD16" s="97">
        <f>AD14*AD13</f>
        <v>576000</v>
      </c>
      <c r="AE16" s="97">
        <f>AE14*AE13</f>
        <v>604800</v>
      </c>
      <c r="AF16" s="92"/>
      <c r="AG16" s="29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74"/>
    </row>
    <row r="17" spans="1:45" ht="22.5" customHeight="1">
      <c r="A17" s="29"/>
      <c r="B17" s="98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100"/>
      <c r="AG17" s="2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100"/>
    </row>
    <row r="18" spans="1:45" ht="15.75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</row>
    <row r="19" spans="1:45" ht="15.75" hidden="1" customHeight="1">
      <c r="A19" s="101"/>
      <c r="B19" s="10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01"/>
      <c r="AG19" s="101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</row>
    <row r="20" spans="1:45" ht="15.75" hidden="1" customHeight="1">
      <c r="A20" s="101"/>
      <c r="B20" s="10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01"/>
      <c r="AG20" s="101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</row>
    <row r="21" spans="1:45" ht="15.75" hidden="1" customHeight="1">
      <c r="A21" s="101"/>
      <c r="B21" s="10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01"/>
      <c r="AG21" s="101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</row>
    <row r="22" spans="1:45" ht="15.75" hidden="1" customHeight="1">
      <c r="A22" s="101"/>
      <c r="B22" s="10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01"/>
      <c r="AG22" s="101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</row>
    <row r="23" spans="1:45" ht="15.75" hidden="1" customHeight="1">
      <c r="A23" s="101"/>
      <c r="B23" s="10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01"/>
      <c r="AG23" s="101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</row>
    <row r="24" spans="1:45" ht="15.75" hidden="1" customHeight="1">
      <c r="A24" s="101"/>
      <c r="B24" s="10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01"/>
      <c r="AG24" s="101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</row>
    <row r="25" spans="1:45" ht="15.75" hidden="1" customHeight="1">
      <c r="A25" s="101"/>
      <c r="B25" s="10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01"/>
      <c r="AG25" s="101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</row>
    <row r="26" spans="1:45" ht="15.75" hidden="1" customHeight="1">
      <c r="A26" s="101"/>
      <c r="B26" s="10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01"/>
      <c r="AG26" s="101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</row>
    <row r="27" spans="1:45" ht="15.75" hidden="1" customHeight="1">
      <c r="A27" s="101"/>
      <c r="B27" s="10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01"/>
      <c r="AG27" s="101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</row>
    <row r="28" spans="1:45" ht="15.75" hidden="1" customHeight="1">
      <c r="A28" s="101"/>
      <c r="B28" s="10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01"/>
      <c r="AG28" s="101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</row>
    <row r="29" spans="1:45" ht="15.75" hidden="1" customHeight="1">
      <c r="A29" s="101"/>
      <c r="B29" s="10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01"/>
      <c r="AG29" s="101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</row>
    <row r="30" spans="1:45" ht="15.75" hidden="1" customHeight="1">
      <c r="A30" s="101"/>
      <c r="B30" s="10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01"/>
      <c r="AG30" s="101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</row>
    <row r="31" spans="1:45" ht="15.75" hidden="1" customHeight="1">
      <c r="A31" s="101"/>
      <c r="B31" s="10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01"/>
      <c r="AG31" s="101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</row>
    <row r="32" spans="1:45" ht="15.75" hidden="1" customHeight="1">
      <c r="A32" s="101"/>
      <c r="B32" s="10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01"/>
      <c r="AG32" s="101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</row>
    <row r="33" spans="1:45" ht="15.75" hidden="1" customHeight="1">
      <c r="A33" s="101"/>
      <c r="B33" s="10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01"/>
      <c r="AG33" s="101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</row>
    <row r="34" spans="1:45" ht="15.75" hidden="1" customHeight="1">
      <c r="A34" s="101"/>
      <c r="B34" s="10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01"/>
      <c r="AG34" s="101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</row>
    <row r="35" spans="1:45" ht="15.75" hidden="1" customHeight="1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</row>
    <row r="36" spans="1:45" ht="15.75" hidden="1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</row>
    <row r="37" spans="1:45" ht="15.75" hidden="1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</row>
    <row r="38" spans="1:45" ht="15.75" hidden="1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</row>
    <row r="39" spans="1:45" ht="15.75" hidden="1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</row>
    <row r="40" spans="1:45" ht="15.75" hidden="1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</row>
    <row r="41" spans="1:45" ht="15.75" hidden="1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</row>
    <row r="42" spans="1:45" ht="15.75" hidden="1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</row>
    <row r="43" spans="1:45" ht="15.75" hidden="1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</row>
    <row r="44" spans="1:45" ht="15.75" hidden="1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</row>
    <row r="45" spans="1:45" ht="15.75" hidden="1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</row>
    <row r="46" spans="1:45" ht="15.75" hidden="1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</row>
    <row r="47" spans="1:45" ht="15.75" hidden="1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</row>
    <row r="48" spans="1:45" ht="15.75" hidden="1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</row>
    <row r="49" spans="1:45" ht="15.75" hidden="1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</row>
    <row r="50" spans="1:45" ht="15.75" hidden="1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</row>
    <row r="51" spans="1:45" ht="15.75" hidden="1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</row>
    <row r="52" spans="1:45" ht="15.75" hidden="1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</row>
    <row r="53" spans="1:45" ht="15.75" hidden="1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</row>
    <row r="54" spans="1:45" ht="15.75" hidden="1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</row>
    <row r="55" spans="1:45" ht="15.75" hidden="1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</row>
    <row r="56" spans="1:45" ht="15.75" hidden="1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</row>
    <row r="57" spans="1:45" ht="15.75" hidden="1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</row>
    <row r="58" spans="1:45" ht="15.75" hidden="1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</row>
    <row r="59" spans="1:45" ht="15.75" hidden="1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</row>
    <row r="60" spans="1:45" ht="15.75" hidden="1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</row>
    <row r="61" spans="1:45" ht="15.75" hidden="1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</row>
    <row r="62" spans="1:45" ht="15.75" hidden="1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</row>
    <row r="63" spans="1:45" ht="15.75" hidden="1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</row>
    <row r="64" spans="1:45" ht="15.75" hidden="1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</row>
    <row r="65" spans="1:45" ht="15.75" hidden="1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</row>
    <row r="66" spans="1:45" ht="15.75" hidden="1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</row>
    <row r="67" spans="1:45" ht="15.75" hidden="1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</row>
    <row r="68" spans="1:45" ht="15.75" hidden="1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</row>
    <row r="69" spans="1:45" ht="15.75" hidden="1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</row>
    <row r="70" spans="1:45" ht="15.75" hidden="1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</row>
    <row r="71" spans="1:45" ht="15.75" hidden="1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</row>
    <row r="72" spans="1:45" ht="15.75" hidden="1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</row>
    <row r="73" spans="1:45" ht="15.75" hidden="1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</row>
    <row r="74" spans="1:45" ht="15.75" hidden="1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</row>
    <row r="75" spans="1:45" ht="15.75" hidden="1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</row>
    <row r="76" spans="1:45" ht="15.75" hidden="1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</row>
    <row r="77" spans="1:45" ht="15.75" hidden="1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</row>
    <row r="78" spans="1:45" ht="15.75" hidden="1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</row>
    <row r="79" spans="1:45" ht="15.75" hidden="1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</row>
    <row r="80" spans="1:45" ht="15.75" hidden="1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</row>
    <row r="81" spans="1:45" ht="15.75" hidden="1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</row>
    <row r="82" spans="1:45" ht="15.75" hidden="1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</row>
    <row r="83" spans="1:45" ht="15.75" hidden="1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</row>
    <row r="84" spans="1:45" ht="15.75" hidden="1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</row>
    <row r="85" spans="1:45" ht="15.75" hidden="1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</row>
    <row r="86" spans="1:45" ht="15.75" hidden="1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</row>
    <row r="87" spans="1:45" ht="15.75" hidden="1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</row>
    <row r="88" spans="1:45" ht="15.75" hidden="1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</row>
    <row r="89" spans="1:45" ht="15.75" hidden="1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</row>
    <row r="90" spans="1:45" ht="15.75" hidden="1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</row>
    <row r="91" spans="1:45" ht="15.75" hidden="1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</row>
    <row r="92" spans="1:45" ht="15.75" hidden="1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</row>
    <row r="93" spans="1:45" ht="15.75" hidden="1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</row>
    <row r="94" spans="1:45" ht="15.75" hidden="1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</row>
    <row r="95" spans="1:45" ht="15.75" hidden="1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</row>
    <row r="96" spans="1:45" ht="15.75" hidden="1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</row>
    <row r="97" spans="1:45" ht="15.75" hidden="1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</row>
    <row r="98" spans="1:45" ht="15.75" hidden="1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</row>
    <row r="99" spans="1:45" ht="15.75" hidden="1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</row>
    <row r="100" spans="1:45" ht="15.75" hidden="1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</row>
    <row r="101" spans="1:45" ht="15.75" hidden="1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</row>
    <row r="102" spans="1:45" ht="15.75" hidden="1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</row>
    <row r="103" spans="1:45" ht="15.75" hidden="1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</row>
    <row r="104" spans="1:45" ht="15.75" hidden="1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</row>
    <row r="105" spans="1:45" ht="15.75" hidden="1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</row>
    <row r="106" spans="1:45" ht="15.75" hidden="1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</row>
    <row r="107" spans="1:45" ht="15.75" hidden="1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</row>
    <row r="108" spans="1:45" ht="15.75" hidden="1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</row>
    <row r="109" spans="1:45" ht="15.75" hidden="1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</row>
    <row r="110" spans="1:45" ht="15.75" hidden="1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</row>
    <row r="111" spans="1:45" ht="15.75" hidden="1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</row>
    <row r="112" spans="1:45" ht="15.75" hidden="1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</row>
    <row r="113" spans="1:45" ht="15.75" hidden="1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</row>
    <row r="114" spans="1:45" ht="15.75" hidden="1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</row>
    <row r="115" spans="1:45" ht="15.75" hidden="1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</row>
    <row r="116" spans="1:45" ht="15.75" hidden="1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</row>
    <row r="117" spans="1:45" ht="15.75" hidden="1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</row>
    <row r="118" spans="1:45" ht="15.75" hidden="1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</row>
    <row r="119" spans="1:45" ht="15.75" hidden="1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</row>
    <row r="120" spans="1:45" ht="15.75" hidden="1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</row>
    <row r="121" spans="1:45" ht="15.75" hidden="1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</row>
    <row r="122" spans="1:45" ht="15.75" hidden="1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</row>
    <row r="123" spans="1:45" ht="15.75" hidden="1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</row>
    <row r="124" spans="1:45" ht="15.75" hidden="1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</row>
    <row r="125" spans="1:45" ht="15.75" hidden="1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</row>
    <row r="126" spans="1:45" ht="15.75" hidden="1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</row>
    <row r="127" spans="1:45" ht="15.75" hidden="1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</row>
    <row r="128" spans="1:45" ht="15.75" hidden="1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</row>
    <row r="129" spans="1:45" ht="15.75" hidden="1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</row>
    <row r="130" spans="1:45" ht="15.75" hidden="1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</row>
    <row r="131" spans="1:45" ht="15.75" hidden="1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</row>
    <row r="132" spans="1:45" ht="15.75" hidden="1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</row>
    <row r="133" spans="1:45" ht="15.75" hidden="1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</row>
    <row r="134" spans="1:45" ht="15.75" hidden="1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</row>
    <row r="135" spans="1:45" ht="15.75" hidden="1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</row>
    <row r="136" spans="1:45" ht="15.75" hidden="1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</row>
    <row r="137" spans="1:45" ht="15.75" hidden="1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</row>
    <row r="138" spans="1:45" ht="15.75" hidden="1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</row>
    <row r="139" spans="1:45" ht="15.75" hidden="1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</row>
    <row r="140" spans="1:45" ht="15.75" hidden="1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</row>
    <row r="141" spans="1:45" ht="15.75" hidden="1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</row>
    <row r="142" spans="1:45" ht="15.75" hidden="1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</row>
    <row r="143" spans="1:45" ht="15.75" hidden="1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</row>
    <row r="144" spans="1:45" ht="15.75" hidden="1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</row>
    <row r="145" spans="1:45" ht="15.75" hidden="1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</row>
    <row r="146" spans="1:45" ht="15.75" hidden="1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</row>
    <row r="147" spans="1:45" ht="15.75" hidden="1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</row>
    <row r="148" spans="1:45" ht="15.75" hidden="1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</row>
    <row r="149" spans="1:45" ht="15.75" hidden="1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</row>
    <row r="150" spans="1:45" ht="15.75" hidden="1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</row>
    <row r="151" spans="1:45" ht="15.75" hidden="1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</row>
    <row r="152" spans="1:45" ht="15.75" hidden="1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</row>
    <row r="153" spans="1:45" ht="15.75" hidden="1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</row>
    <row r="154" spans="1:45" ht="15.75" hidden="1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</row>
    <row r="155" spans="1:45" ht="15.75" hidden="1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</row>
    <row r="156" spans="1:45" ht="15.75" hidden="1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</row>
    <row r="157" spans="1:45" ht="15.75" hidden="1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</row>
    <row r="158" spans="1:45" ht="15.75" hidden="1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</row>
    <row r="159" spans="1:45" ht="15.75" hidden="1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</row>
    <row r="160" spans="1:45" ht="15.75" hidden="1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</row>
    <row r="161" spans="1:45" ht="15.75" hidden="1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</row>
    <row r="162" spans="1:45" ht="15.75" hidden="1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</row>
    <row r="163" spans="1:45" ht="15.75" hidden="1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</row>
    <row r="164" spans="1:45" ht="15.75" hidden="1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</row>
    <row r="165" spans="1:45" ht="15.75" hidden="1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</row>
    <row r="166" spans="1:45" ht="15.75" hidden="1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</row>
    <row r="167" spans="1:45" ht="15.75" hidden="1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</row>
    <row r="168" spans="1:45" ht="15.75" hidden="1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</row>
    <row r="169" spans="1:45" ht="15.75" hidden="1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</row>
    <row r="170" spans="1:45" ht="15.75" hidden="1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</row>
    <row r="171" spans="1:45" ht="15.75" hidden="1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</row>
    <row r="172" spans="1:45" ht="15.75" hidden="1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</row>
    <row r="173" spans="1:45" ht="15.75" hidden="1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</row>
    <row r="174" spans="1:45" ht="15.75" hidden="1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</row>
    <row r="175" spans="1:45" ht="15.75" hidden="1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</row>
    <row r="176" spans="1:45" ht="15.75" hidden="1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</row>
    <row r="177" spans="1:45" ht="15.75" hidden="1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</row>
    <row r="178" spans="1:45" ht="15.75" hidden="1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</row>
    <row r="179" spans="1:45" ht="15.75" hidden="1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</row>
    <row r="180" spans="1:45" ht="15.75" hidden="1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</row>
    <row r="181" spans="1:45" ht="15.75" hidden="1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</row>
    <row r="182" spans="1:45" ht="15.75" hidden="1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</row>
    <row r="183" spans="1:45" ht="15.75" hidden="1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</row>
    <row r="184" spans="1:45" ht="15.75" hidden="1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</row>
    <row r="185" spans="1:45" ht="15.75" hidden="1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</row>
    <row r="186" spans="1:45" ht="15.75" hidden="1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</row>
    <row r="187" spans="1:45" ht="15.75" hidden="1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</row>
    <row r="188" spans="1:45" ht="15.75" hidden="1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</row>
    <row r="189" spans="1:45" ht="15.75" hidden="1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</row>
    <row r="190" spans="1:45" ht="15.75" hidden="1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</row>
    <row r="191" spans="1:45" ht="15.75" hidden="1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</row>
    <row r="192" spans="1:45" ht="15.75" hidden="1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</row>
    <row r="193" spans="1:45" ht="15.75" hidden="1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</row>
    <row r="194" spans="1:45" ht="15.75" hidden="1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</row>
    <row r="195" spans="1:45" ht="15.75" hidden="1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</row>
    <row r="196" spans="1:45" ht="15.75" hidden="1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</row>
    <row r="197" spans="1:45" ht="15.75" hidden="1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</row>
    <row r="198" spans="1:45" ht="15.75" hidden="1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</row>
    <row r="199" spans="1:45" ht="15.75" hidden="1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</row>
    <row r="200" spans="1:45" ht="15.75" hidden="1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</row>
    <row r="201" spans="1:45" ht="15.75" hidden="1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</row>
    <row r="202" spans="1:45" ht="15.75" hidden="1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</row>
    <row r="203" spans="1:45" ht="15.75" hidden="1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</row>
    <row r="204" spans="1:45" ht="15.75" hidden="1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</row>
    <row r="205" spans="1:45" ht="15.75" hidden="1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</row>
    <row r="206" spans="1:45" ht="15.75" hidden="1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</row>
    <row r="207" spans="1:45" ht="15.75" hidden="1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</row>
    <row r="208" spans="1:45" ht="15.75" hidden="1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</row>
    <row r="209" spans="1:45" ht="15.75" hidden="1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</row>
    <row r="210" spans="1:45" ht="15.75" hidden="1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</row>
    <row r="211" spans="1:45" ht="15.75" hidden="1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</row>
    <row r="212" spans="1:45" ht="15.75" hidden="1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</row>
    <row r="213" spans="1:45" ht="15.75" hidden="1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</row>
    <row r="214" spans="1:45" ht="15.75" hidden="1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</row>
    <row r="215" spans="1:45" ht="15.75" hidden="1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</row>
    <row r="216" spans="1:45" ht="15.75" hidden="1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</row>
    <row r="217" spans="1:45" ht="15.75" hidden="1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</row>
    <row r="218" spans="1:45" ht="15.75" hidden="1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</row>
    <row r="219" spans="1:45" ht="15.75" hidden="1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</row>
    <row r="220" spans="1:45" ht="15.75" hidden="1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</row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E3:N4"/>
    <mergeCell ref="L5:N5"/>
  </mergeCells>
  <pageMargins left="0.70866141732283505" right="0.70866141732283505" top="0.74803149606299202" bottom="0.74803149606299202" header="0" footer="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12BDAB"/>
    <outlinePr summaryBelow="0" summaryRight="0"/>
    <pageSetUpPr fitToPage="1"/>
  </sheetPr>
  <dimension ref="A1:AP999"/>
  <sheetViews>
    <sheetView showGridLines="0" workbookViewId="0">
      <selection activeCell="H29" sqref="H29"/>
    </sheetView>
  </sheetViews>
  <sheetFormatPr defaultColWidth="14.44140625" defaultRowHeight="15" customHeight="1" outlineLevelRow="1" outlineLevelCol="1"/>
  <cols>
    <col min="1" max="1" width="2.6640625" customWidth="1"/>
    <col min="2" max="2" width="4.109375" customWidth="1"/>
    <col min="3" max="3" width="55.6640625" customWidth="1"/>
    <col min="4" max="5" width="15.5546875" customWidth="1"/>
    <col min="6" max="6" width="15.88671875" customWidth="1"/>
    <col min="7" max="7" width="15.5546875" customWidth="1"/>
    <col min="8" max="14" width="15.88671875" customWidth="1"/>
    <col min="15" max="15" width="16" customWidth="1"/>
    <col min="16" max="31" width="16" customWidth="1" outlineLevel="1"/>
    <col min="32" max="32" width="4" customWidth="1"/>
    <col min="33" max="33" width="9.109375" customWidth="1"/>
    <col min="34" max="42" width="9.109375" hidden="1" customWidth="1"/>
  </cols>
  <sheetData>
    <row r="1" spans="1:42" ht="15.7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</row>
    <row r="2" spans="1:42" ht="93" customHeight="1">
      <c r="A2" s="29"/>
      <c r="B2" s="266" t="s">
        <v>138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8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3"/>
      <c r="AG2" s="29"/>
      <c r="AH2" s="29"/>
      <c r="AI2" s="29"/>
      <c r="AJ2" s="29"/>
      <c r="AK2" s="29"/>
      <c r="AL2" s="29"/>
      <c r="AM2" s="29"/>
      <c r="AN2" s="29"/>
      <c r="AO2" s="29"/>
      <c r="AP2" s="29"/>
    </row>
    <row r="3" spans="1:42" ht="15.75" customHeight="1">
      <c r="A3" s="29"/>
      <c r="B3" s="67"/>
      <c r="C3" s="104" t="s">
        <v>111</v>
      </c>
      <c r="D3" s="105">
        <v>1</v>
      </c>
      <c r="E3" s="105">
        <v>2</v>
      </c>
      <c r="F3" s="105">
        <v>3</v>
      </c>
      <c r="G3" s="105">
        <v>4</v>
      </c>
      <c r="H3" s="105">
        <v>5</v>
      </c>
      <c r="I3" s="105">
        <v>6</v>
      </c>
      <c r="J3" s="105">
        <v>7</v>
      </c>
      <c r="K3" s="105">
        <v>8</v>
      </c>
      <c r="L3" s="105">
        <v>9</v>
      </c>
      <c r="M3" s="105">
        <v>10</v>
      </c>
      <c r="N3" s="105">
        <v>11</v>
      </c>
      <c r="O3" s="105">
        <v>12</v>
      </c>
      <c r="P3" s="105">
        <v>13</v>
      </c>
      <c r="Q3" s="105">
        <v>14</v>
      </c>
      <c r="R3" s="105">
        <v>15</v>
      </c>
      <c r="S3" s="105">
        <v>16</v>
      </c>
      <c r="T3" s="105">
        <v>17</v>
      </c>
      <c r="U3" s="105">
        <v>18</v>
      </c>
      <c r="V3" s="105">
        <v>19</v>
      </c>
      <c r="W3" s="105">
        <v>20</v>
      </c>
      <c r="X3" s="105">
        <v>21</v>
      </c>
      <c r="Y3" s="105">
        <v>22</v>
      </c>
      <c r="Z3" s="105">
        <v>23</v>
      </c>
      <c r="AA3" s="105">
        <v>24</v>
      </c>
      <c r="AB3" s="106"/>
      <c r="AC3" s="106" t="str">
        <f>Sales!AC6</f>
        <v xml:space="preserve">3d year </v>
      </c>
      <c r="AD3" s="106" t="str">
        <f>Sales!AD6</f>
        <v>4th yeat</v>
      </c>
      <c r="AE3" s="106" t="str">
        <f>Sales!AE6</f>
        <v>5th year</v>
      </c>
      <c r="AF3" s="107"/>
      <c r="AG3" s="29"/>
      <c r="AH3" s="29"/>
      <c r="AI3" s="29"/>
      <c r="AJ3" s="29"/>
      <c r="AK3" s="29"/>
      <c r="AL3" s="29"/>
      <c r="AM3" s="29"/>
      <c r="AN3" s="29"/>
      <c r="AO3" s="29"/>
      <c r="AP3" s="29"/>
    </row>
    <row r="4" spans="1:42" ht="15.75" customHeight="1">
      <c r="A4" s="29"/>
      <c r="B4" s="67"/>
      <c r="C4" s="108" t="s">
        <v>112</v>
      </c>
      <c r="D4" s="42">
        <f>Sales!D16</f>
        <v>3600</v>
      </c>
      <c r="E4" s="42">
        <f>Sales!E16</f>
        <v>6120</v>
      </c>
      <c r="F4" s="42">
        <f>Sales!F16</f>
        <v>8640</v>
      </c>
      <c r="G4" s="42">
        <f>Sales!G16</f>
        <v>11160</v>
      </c>
      <c r="H4" s="42">
        <f>Sales!H16</f>
        <v>13680</v>
      </c>
      <c r="I4" s="42">
        <f>Sales!I16</f>
        <v>16200</v>
      </c>
      <c r="J4" s="42">
        <f>Sales!J16</f>
        <v>18720</v>
      </c>
      <c r="K4" s="42">
        <f>Sales!K16</f>
        <v>21240</v>
      </c>
      <c r="L4" s="42">
        <f>Sales!L16</f>
        <v>23760</v>
      </c>
      <c r="M4" s="42">
        <f>Sales!M16</f>
        <v>26280</v>
      </c>
      <c r="N4" s="42">
        <f>Sales!N16</f>
        <v>28800</v>
      </c>
      <c r="O4" s="42">
        <f>Sales!O16</f>
        <v>28800</v>
      </c>
      <c r="P4" s="42">
        <f>Sales!P16</f>
        <v>30100</v>
      </c>
      <c r="Q4" s="42">
        <f>Sales!Q16</f>
        <v>31400</v>
      </c>
      <c r="R4" s="42">
        <f>Sales!R16</f>
        <v>32720</v>
      </c>
      <c r="S4" s="42">
        <f>Sales!S16</f>
        <v>34020</v>
      </c>
      <c r="T4" s="42">
        <f>Sales!T16</f>
        <v>35340</v>
      </c>
      <c r="U4" s="42">
        <f>Sales!U16</f>
        <v>36640</v>
      </c>
      <c r="V4" s="42">
        <f>Sales!V16</f>
        <v>37960</v>
      </c>
      <c r="W4" s="42">
        <f>Sales!W16</f>
        <v>39260</v>
      </c>
      <c r="X4" s="42">
        <f>Sales!X16</f>
        <v>40580</v>
      </c>
      <c r="Y4" s="42">
        <f>Sales!Y16</f>
        <v>41880</v>
      </c>
      <c r="Z4" s="42">
        <f>Sales!Z16</f>
        <v>43200</v>
      </c>
      <c r="AA4" s="42">
        <f>Sales!AA16</f>
        <v>43200</v>
      </c>
      <c r="AB4" s="42"/>
      <c r="AC4" s="42">
        <f>Sales!AC16</f>
        <v>547200</v>
      </c>
      <c r="AD4" s="42">
        <f>Sales!AD16</f>
        <v>576000</v>
      </c>
      <c r="AE4" s="42">
        <f>Sales!AE16</f>
        <v>604800</v>
      </c>
      <c r="AF4" s="109"/>
      <c r="AG4" s="29"/>
      <c r="AH4" s="29"/>
      <c r="AI4" s="29"/>
      <c r="AJ4" s="29"/>
      <c r="AK4" s="29"/>
      <c r="AL4" s="29"/>
      <c r="AM4" s="29"/>
      <c r="AN4" s="29"/>
      <c r="AO4" s="29"/>
      <c r="AP4" s="29"/>
    </row>
    <row r="5" spans="1:42" ht="15.75" customHeight="1">
      <c r="A5" s="29"/>
      <c r="B5" s="67"/>
      <c r="C5" s="108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109"/>
      <c r="AG5" s="29"/>
      <c r="AH5" s="29"/>
      <c r="AI5" s="29"/>
      <c r="AJ5" s="29"/>
      <c r="AK5" s="29"/>
      <c r="AL5" s="29"/>
      <c r="AM5" s="29"/>
      <c r="AN5" s="29"/>
      <c r="AO5" s="29"/>
      <c r="AP5" s="29"/>
    </row>
    <row r="6" spans="1:42" ht="15.75" customHeight="1">
      <c r="A6" s="29"/>
      <c r="B6" s="67"/>
      <c r="C6" s="108" t="s">
        <v>114</v>
      </c>
      <c r="D6" s="42">
        <f>D7+D8+SUM(D12:D24)</f>
        <v>1663.98</v>
      </c>
      <c r="E6" s="42">
        <f>E7+E8+SUM(E12:E24)</f>
        <v>2452.5300000000002</v>
      </c>
      <c r="F6" s="42">
        <f>F7+F8+SUM(F12:F24)</f>
        <v>3241.08</v>
      </c>
      <c r="G6" s="42">
        <f>G7+G8+SUM(G12:G24)</f>
        <v>4129.63</v>
      </c>
      <c r="H6" s="42">
        <f>H7+H8+SUM(H12:H24)</f>
        <v>4818.1799999999994</v>
      </c>
      <c r="I6" s="42">
        <f>I7+I8+SUM(I12:I24)</f>
        <v>5756.7300000000005</v>
      </c>
      <c r="J6" s="42">
        <f>J7+J8+SUM(J12:J24)</f>
        <v>6395.2800000000007</v>
      </c>
      <c r="K6" s="42">
        <f>K7+K8+SUM(K12:K24)</f>
        <v>7283.83</v>
      </c>
      <c r="L6" s="42">
        <f>L7+L8+SUM(L12:L24)</f>
        <v>7972.38</v>
      </c>
      <c r="M6" s="42">
        <f>M7+M8+SUM(M12:M24)</f>
        <v>8760.93</v>
      </c>
      <c r="N6" s="42">
        <f>N7+N8+SUM(N12:N24)</f>
        <v>9549.4800000000014</v>
      </c>
      <c r="O6" s="42">
        <f>O7+O8+SUM(O12:O24)</f>
        <v>9799.48</v>
      </c>
      <c r="P6" s="42">
        <f>P7+P8+SUM(P12:P24)</f>
        <v>9956.9345454545455</v>
      </c>
      <c r="Q6" s="42">
        <f>Q7+Q8+SUM(Q12:Q24)</f>
        <v>10364.389090909091</v>
      </c>
      <c r="R6" s="42">
        <f>R7+R8+SUM(R12:R24)</f>
        <v>10776.643636363637</v>
      </c>
      <c r="S6" s="42">
        <f>S7+S8+SUM(S12:S24)</f>
        <v>11284.098181818183</v>
      </c>
      <c r="T6" s="42">
        <f>T7+T8+SUM(T12:T24)</f>
        <v>11596.352727272728</v>
      </c>
      <c r="U6" s="42">
        <f>U7+U8+SUM(U12:U24)</f>
        <v>12153.807272727274</v>
      </c>
      <c r="V6" s="42">
        <f>V7+V8+SUM(V12:V24)</f>
        <v>12416.061818181817</v>
      </c>
      <c r="W6" s="42">
        <f>W7+W8+SUM(W12:W24)</f>
        <v>12923.516363636363</v>
      </c>
      <c r="X6" s="42">
        <f>X7+X8+SUM(X12:X24)</f>
        <v>13235.770909090908</v>
      </c>
      <c r="Y6" s="42">
        <f>Y7+Y8+SUM(Y12:Y24)</f>
        <v>13643.225454545454</v>
      </c>
      <c r="Z6" s="42">
        <f>Z7+Z8+SUM(Z12:Z24)</f>
        <v>14055.48</v>
      </c>
      <c r="AA6" s="42">
        <f>AA7+AA8+SUM(AA12:AA24)</f>
        <v>14305.48</v>
      </c>
      <c r="AB6" s="42"/>
      <c r="AC6" s="42">
        <f>AC7+AC8+SUM(AC12:AC24)</f>
        <v>180849.76</v>
      </c>
      <c r="AD6" s="42">
        <f>AD7+AD8+SUM(AD12:AD24)</f>
        <v>190149.76000000001</v>
      </c>
      <c r="AE6" s="42">
        <f>AE7+AE8+SUM(AE12:AE24)</f>
        <v>199449.76</v>
      </c>
      <c r="AF6" s="109"/>
      <c r="AG6" s="29"/>
      <c r="AH6" s="29"/>
      <c r="AI6" s="29"/>
      <c r="AJ6" s="29"/>
      <c r="AK6" s="29"/>
      <c r="AL6" s="29"/>
      <c r="AM6" s="29"/>
      <c r="AN6" s="29"/>
      <c r="AO6" s="29"/>
      <c r="AP6" s="29"/>
    </row>
    <row r="7" spans="1:42" ht="15.75" customHeight="1">
      <c r="A7" s="29"/>
      <c r="B7" s="67"/>
      <c r="C7" s="110" t="s">
        <v>115</v>
      </c>
      <c r="D7" s="46">
        <f>Options!$D$10</f>
        <v>0</v>
      </c>
      <c r="E7" s="46">
        <f>Options!$D$10</f>
        <v>0</v>
      </c>
      <c r="F7" s="46">
        <f>Options!$D$10</f>
        <v>0</v>
      </c>
      <c r="G7" s="46">
        <f>Options!$D$10</f>
        <v>0</v>
      </c>
      <c r="H7" s="46">
        <f>Options!$D$10</f>
        <v>0</v>
      </c>
      <c r="I7" s="46">
        <f>Options!$D$10</f>
        <v>0</v>
      </c>
      <c r="J7" s="46">
        <f>Options!$D$10</f>
        <v>0</v>
      </c>
      <c r="K7" s="46">
        <f>Options!$D$10</f>
        <v>0</v>
      </c>
      <c r="L7" s="46">
        <f>Options!$D$10</f>
        <v>0</v>
      </c>
      <c r="M7" s="46">
        <f>Options!$D$10</f>
        <v>0</v>
      </c>
      <c r="N7" s="46">
        <f>Options!$D$10</f>
        <v>0</v>
      </c>
      <c r="O7" s="46">
        <f>Options!$D$10</f>
        <v>0</v>
      </c>
      <c r="P7" s="46">
        <f>Options!$D$10</f>
        <v>0</v>
      </c>
      <c r="Q7" s="46">
        <f>Options!$D$10</f>
        <v>0</v>
      </c>
      <c r="R7" s="46">
        <f>Options!$D$10</f>
        <v>0</v>
      </c>
      <c r="S7" s="46">
        <f>Options!$D$10</f>
        <v>0</v>
      </c>
      <c r="T7" s="46">
        <f>Options!$D$10</f>
        <v>0</v>
      </c>
      <c r="U7" s="46">
        <f>Options!$D$10</f>
        <v>0</v>
      </c>
      <c r="V7" s="46">
        <f>Options!$D$10</f>
        <v>0</v>
      </c>
      <c r="W7" s="46">
        <f>Options!$D$10</f>
        <v>0</v>
      </c>
      <c r="X7" s="46">
        <f>Options!$D$10</f>
        <v>0</v>
      </c>
      <c r="Y7" s="46">
        <f>Options!$D$10</f>
        <v>0</v>
      </c>
      <c r="Z7" s="46">
        <f>Options!$D$10</f>
        <v>0</v>
      </c>
      <c r="AA7" s="46">
        <f>Options!$D$10</f>
        <v>0</v>
      </c>
      <c r="AB7" s="46"/>
      <c r="AC7" s="46">
        <f>Options!$D$10*12</f>
        <v>0</v>
      </c>
      <c r="AD7" s="46">
        <f>Options!$D$10*12</f>
        <v>0</v>
      </c>
      <c r="AE7" s="46">
        <f>Options!$D$10*12</f>
        <v>0</v>
      </c>
      <c r="AF7" s="109"/>
      <c r="AG7" s="29"/>
      <c r="AH7" s="29"/>
      <c r="AI7" s="29"/>
      <c r="AJ7" s="29"/>
      <c r="AK7" s="29"/>
      <c r="AL7" s="29"/>
      <c r="AM7" s="29"/>
      <c r="AN7" s="29"/>
      <c r="AO7" s="29"/>
      <c r="AP7" s="29"/>
    </row>
    <row r="8" spans="1:42" ht="15.75" customHeight="1">
      <c r="A8" s="29"/>
      <c r="B8" s="67"/>
      <c r="C8" s="111" t="s">
        <v>116</v>
      </c>
      <c r="D8" s="46">
        <f>SUM(D9:D11)</f>
        <v>0</v>
      </c>
      <c r="E8" s="46">
        <f t="shared" ref="D8:AA8" si="0">SUM(E9:E11)</f>
        <v>0</v>
      </c>
      <c r="F8" s="46">
        <f t="shared" si="0"/>
        <v>0</v>
      </c>
      <c r="G8" s="46">
        <f t="shared" si="0"/>
        <v>0</v>
      </c>
      <c r="H8" s="46">
        <f t="shared" si="0"/>
        <v>0</v>
      </c>
      <c r="I8" s="46">
        <f t="shared" si="0"/>
        <v>0</v>
      </c>
      <c r="J8" s="46">
        <f t="shared" si="0"/>
        <v>0</v>
      </c>
      <c r="K8" s="46">
        <f t="shared" si="0"/>
        <v>0</v>
      </c>
      <c r="L8" s="46">
        <f t="shared" si="0"/>
        <v>0</v>
      </c>
      <c r="M8" s="46">
        <f t="shared" si="0"/>
        <v>0</v>
      </c>
      <c r="N8" s="46">
        <f t="shared" si="0"/>
        <v>0</v>
      </c>
      <c r="O8" s="46">
        <f t="shared" si="0"/>
        <v>0</v>
      </c>
      <c r="P8" s="46">
        <f t="shared" si="0"/>
        <v>0</v>
      </c>
      <c r="Q8" s="46">
        <f t="shared" si="0"/>
        <v>0</v>
      </c>
      <c r="R8" s="46">
        <f t="shared" si="0"/>
        <v>0</v>
      </c>
      <c r="S8" s="46">
        <f t="shared" si="0"/>
        <v>0</v>
      </c>
      <c r="T8" s="46">
        <f t="shared" si="0"/>
        <v>0</v>
      </c>
      <c r="U8" s="46">
        <f t="shared" si="0"/>
        <v>0</v>
      </c>
      <c r="V8" s="46">
        <f t="shared" si="0"/>
        <v>0</v>
      </c>
      <c r="W8" s="46">
        <f t="shared" si="0"/>
        <v>0</v>
      </c>
      <c r="X8" s="46">
        <f t="shared" si="0"/>
        <v>0</v>
      </c>
      <c r="Y8" s="46">
        <f t="shared" si="0"/>
        <v>0</v>
      </c>
      <c r="Z8" s="46">
        <f t="shared" si="0"/>
        <v>0</v>
      </c>
      <c r="AA8" s="46">
        <f t="shared" si="0"/>
        <v>0</v>
      </c>
      <c r="AB8" s="46"/>
      <c r="AC8" s="46">
        <f>SUM(AC9:AC11)</f>
        <v>0</v>
      </c>
      <c r="AD8" s="46">
        <f>SUM(AD9:AD11)</f>
        <v>0</v>
      </c>
      <c r="AE8" s="46">
        <f>SUM(AE9:AE11)</f>
        <v>0</v>
      </c>
      <c r="AF8" s="109"/>
      <c r="AG8" s="29"/>
      <c r="AH8" s="29"/>
      <c r="AI8" s="29"/>
      <c r="AJ8" s="29"/>
      <c r="AK8" s="29"/>
      <c r="AL8" s="29"/>
      <c r="AM8" s="29"/>
      <c r="AN8" s="29"/>
      <c r="AO8" s="29"/>
      <c r="AP8" s="29"/>
    </row>
    <row r="9" spans="1:42" ht="15.75" customHeight="1" outlineLevel="1">
      <c r="A9" s="29"/>
      <c r="B9" s="67"/>
      <c r="C9" s="112" t="str">
        <f>'Tech sheet'!G30</f>
        <v>Reception manager</v>
      </c>
      <c r="D9" s="113">
        <f>'Tech sheet'!$H$30*Options!$D$24</f>
        <v>0</v>
      </c>
      <c r="E9" s="113">
        <f>'Tech sheet'!$H$30*Options!$D$24</f>
        <v>0</v>
      </c>
      <c r="F9" s="113">
        <f>'Tech sheet'!$H$30*Options!$D$24</f>
        <v>0</v>
      </c>
      <c r="G9" s="113">
        <f>'Tech sheet'!$H$30*Options!$D$24</f>
        <v>0</v>
      </c>
      <c r="H9" s="113">
        <f>'Tech sheet'!$H$30*Options!$D$24</f>
        <v>0</v>
      </c>
      <c r="I9" s="113">
        <f>'Tech sheet'!$H$30*Options!$D$24</f>
        <v>0</v>
      </c>
      <c r="J9" s="113">
        <f>'Tech sheet'!$H$30*Options!$D$24</f>
        <v>0</v>
      </c>
      <c r="K9" s="113">
        <f>'Tech sheet'!$H$30*Options!$D$24</f>
        <v>0</v>
      </c>
      <c r="L9" s="113">
        <f>'Tech sheet'!$H$30*Options!$D$24</f>
        <v>0</v>
      </c>
      <c r="M9" s="113">
        <f>'Tech sheet'!$H$30*Options!$D$24</f>
        <v>0</v>
      </c>
      <c r="N9" s="113">
        <f>'Tech sheet'!$H$30*Options!$D$24</f>
        <v>0</v>
      </c>
      <c r="O9" s="113">
        <f>'Tech sheet'!$H$30*Options!$D$24</f>
        <v>0</v>
      </c>
      <c r="P9" s="113">
        <f>'Tech sheet'!$H$30*Options!$D$24</f>
        <v>0</v>
      </c>
      <c r="Q9" s="113">
        <f>'Tech sheet'!$H$30*Options!$D$24</f>
        <v>0</v>
      </c>
      <c r="R9" s="113">
        <f>'Tech sheet'!$H$30*Options!$D$24</f>
        <v>0</v>
      </c>
      <c r="S9" s="113">
        <f>'Tech sheet'!$H$30*Options!$D$24</f>
        <v>0</v>
      </c>
      <c r="T9" s="113">
        <f>'Tech sheet'!$H$30*Options!$D$24</f>
        <v>0</v>
      </c>
      <c r="U9" s="113">
        <f>'Tech sheet'!$H$30*Options!$D$24</f>
        <v>0</v>
      </c>
      <c r="V9" s="113">
        <f>'Tech sheet'!$H$30*Options!$D$24</f>
        <v>0</v>
      </c>
      <c r="W9" s="113">
        <f>'Tech sheet'!$H$30*Options!$D$24</f>
        <v>0</v>
      </c>
      <c r="X9" s="113">
        <f>'Tech sheet'!$H$30*Options!$D$24</f>
        <v>0</v>
      </c>
      <c r="Y9" s="113">
        <f>'Tech sheet'!$H$30*Options!$D$24</f>
        <v>0</v>
      </c>
      <c r="Z9" s="113">
        <f>'Tech sheet'!$H$30*Options!$D$24</f>
        <v>0</v>
      </c>
      <c r="AA9" s="113">
        <f>'Tech sheet'!$H$30*Options!$D$24</f>
        <v>0</v>
      </c>
      <c r="AB9" s="46"/>
      <c r="AC9" s="113">
        <f>'Tech sheet'!$H$30*Options!$D$24*12</f>
        <v>0</v>
      </c>
      <c r="AD9" s="113">
        <f>'Tech sheet'!$H$30*Options!$D$24*12</f>
        <v>0</v>
      </c>
      <c r="AE9" s="113">
        <f>'Tech sheet'!$H$30*Options!$D$24*12</f>
        <v>0</v>
      </c>
      <c r="AF9" s="109"/>
      <c r="AG9" s="29"/>
      <c r="AH9" s="29"/>
      <c r="AI9" s="29"/>
      <c r="AJ9" s="29"/>
      <c r="AK9" s="29"/>
      <c r="AL9" s="29"/>
      <c r="AM9" s="29"/>
      <c r="AN9" s="29"/>
      <c r="AO9" s="29"/>
      <c r="AP9" s="29"/>
    </row>
    <row r="10" spans="1:42" ht="15.75" customHeight="1" outlineLevel="1">
      <c r="A10" s="29"/>
      <c r="B10" s="67"/>
      <c r="C10" s="112" t="str">
        <f>'Tech sheet'!G31</f>
        <v>Technician</v>
      </c>
      <c r="D10" s="113">
        <f>'Tech sheet'!$H$31*Options!$D$25</f>
        <v>0</v>
      </c>
      <c r="E10" s="113">
        <f>'Tech sheet'!$H$31*Options!$D$25</f>
        <v>0</v>
      </c>
      <c r="F10" s="113">
        <f>'Tech sheet'!$H$31*Options!$D$25</f>
        <v>0</v>
      </c>
      <c r="G10" s="113">
        <f>'Tech sheet'!$H$31*Options!$D$25</f>
        <v>0</v>
      </c>
      <c r="H10" s="113">
        <f>'Tech sheet'!$H$31*Options!$D$25</f>
        <v>0</v>
      </c>
      <c r="I10" s="113">
        <f>'Tech sheet'!$H$31*Options!$D$25</f>
        <v>0</v>
      </c>
      <c r="J10" s="113">
        <f>'Tech sheet'!$H$31*Options!$D$25</f>
        <v>0</v>
      </c>
      <c r="K10" s="113">
        <f>'Tech sheet'!$H$31*Options!$D$25</f>
        <v>0</v>
      </c>
      <c r="L10" s="113">
        <f>'Tech sheet'!$H$31*Options!$D$25</f>
        <v>0</v>
      </c>
      <c r="M10" s="113">
        <f>'Tech sheet'!$H$31*Options!$D$25</f>
        <v>0</v>
      </c>
      <c r="N10" s="113">
        <f>'Tech sheet'!$H$31*Options!$D$25</f>
        <v>0</v>
      </c>
      <c r="O10" s="113">
        <f>'Tech sheet'!$H$31*Options!$D$25</f>
        <v>0</v>
      </c>
      <c r="P10" s="113">
        <f>'Tech sheet'!$H$31*Options!$D$25</f>
        <v>0</v>
      </c>
      <c r="Q10" s="113">
        <f>'Tech sheet'!$H$31*Options!$D$25</f>
        <v>0</v>
      </c>
      <c r="R10" s="113">
        <f>'Tech sheet'!$H$31*Options!$D$25</f>
        <v>0</v>
      </c>
      <c r="S10" s="113">
        <f>'Tech sheet'!$H$31*Options!$D$25</f>
        <v>0</v>
      </c>
      <c r="T10" s="113">
        <f>'Tech sheet'!$H$31*Options!$D$25</f>
        <v>0</v>
      </c>
      <c r="U10" s="113">
        <f>'Tech sheet'!$H$31*Options!$D$25</f>
        <v>0</v>
      </c>
      <c r="V10" s="113">
        <f>'Tech sheet'!$H$31*Options!$D$25</f>
        <v>0</v>
      </c>
      <c r="W10" s="113">
        <f>'Tech sheet'!$H$31*Options!$D$25</f>
        <v>0</v>
      </c>
      <c r="X10" s="113">
        <f>'Tech sheet'!$H$31*Options!$D$25</f>
        <v>0</v>
      </c>
      <c r="Y10" s="113">
        <f>'Tech sheet'!$H$31*Options!$D$25</f>
        <v>0</v>
      </c>
      <c r="Z10" s="113">
        <f>'Tech sheet'!$H$31*Options!$D$25</f>
        <v>0</v>
      </c>
      <c r="AA10" s="113">
        <f>'Tech sheet'!$H$31*Options!$D$25</f>
        <v>0</v>
      </c>
      <c r="AB10" s="46"/>
      <c r="AC10" s="113">
        <f>'Tech sheet'!$H$31*Options!$D$25*12</f>
        <v>0</v>
      </c>
      <c r="AD10" s="113">
        <f>'Tech sheet'!$H$31*Options!$D$25*12</f>
        <v>0</v>
      </c>
      <c r="AE10" s="113">
        <f>'Tech sheet'!$H$31*Options!$D$25*12</f>
        <v>0</v>
      </c>
      <c r="AF10" s="109"/>
      <c r="AG10" s="29"/>
      <c r="AH10" s="29"/>
      <c r="AI10" s="29"/>
      <c r="AJ10" s="29"/>
      <c r="AK10" s="29"/>
      <c r="AL10" s="29"/>
      <c r="AM10" s="29"/>
      <c r="AN10" s="29"/>
      <c r="AO10" s="29"/>
      <c r="AP10" s="29"/>
    </row>
    <row r="11" spans="1:42" ht="15.75" customHeight="1" outlineLevel="1">
      <c r="A11" s="29"/>
      <c r="B11" s="67"/>
      <c r="C11" s="112" t="str">
        <f>'Tech sheet'!G32</f>
        <v>Sales manager</v>
      </c>
      <c r="D11" s="113">
        <f>'Tech sheet'!$H$32*Options!$D$23</f>
        <v>0</v>
      </c>
      <c r="E11" s="113">
        <f>'Tech sheet'!$H$32*Options!$D$23</f>
        <v>0</v>
      </c>
      <c r="F11" s="113">
        <f>'Tech sheet'!$H$32*Options!$D$23</f>
        <v>0</v>
      </c>
      <c r="G11" s="113">
        <f>'Tech sheet'!$H$32*Options!$D$23</f>
        <v>0</v>
      </c>
      <c r="H11" s="113">
        <f>'Tech sheet'!$H$32*Options!$D$23</f>
        <v>0</v>
      </c>
      <c r="I11" s="113">
        <f>'Tech sheet'!$H$32*Options!$D$23</f>
        <v>0</v>
      </c>
      <c r="J11" s="113">
        <f>'Tech sheet'!$H$32*Options!$D$23</f>
        <v>0</v>
      </c>
      <c r="K11" s="113">
        <f>'Tech sheet'!$H$32*Options!$D$23</f>
        <v>0</v>
      </c>
      <c r="L11" s="113">
        <f>'Tech sheet'!$H$32*Options!$D$23</f>
        <v>0</v>
      </c>
      <c r="M11" s="113">
        <f>'Tech sheet'!$H$32*Options!$D$23</f>
        <v>0</v>
      </c>
      <c r="N11" s="113">
        <f>'Tech sheet'!$H$32*Options!$D$23</f>
        <v>0</v>
      </c>
      <c r="O11" s="113">
        <f>'Tech sheet'!$H$32*Options!$D$23</f>
        <v>0</v>
      </c>
      <c r="P11" s="113">
        <f>'Tech sheet'!$H$32*Options!$D$23</f>
        <v>0</v>
      </c>
      <c r="Q11" s="113">
        <f>'Tech sheet'!$H$32*Options!$D$23</f>
        <v>0</v>
      </c>
      <c r="R11" s="113">
        <f>'Tech sheet'!$H$32*Options!$D$23</f>
        <v>0</v>
      </c>
      <c r="S11" s="113">
        <f>'Tech sheet'!$H$32*Options!$D$23</f>
        <v>0</v>
      </c>
      <c r="T11" s="113">
        <f>'Tech sheet'!$H$32*Options!$D$23</f>
        <v>0</v>
      </c>
      <c r="U11" s="113">
        <f>'Tech sheet'!$H$32*Options!$D$23</f>
        <v>0</v>
      </c>
      <c r="V11" s="113">
        <f>'Tech sheet'!$H$32*Options!$D$23</f>
        <v>0</v>
      </c>
      <c r="W11" s="113">
        <f>'Tech sheet'!$H$32*Options!$D$23</f>
        <v>0</v>
      </c>
      <c r="X11" s="113">
        <f>'Tech sheet'!$H$32*Options!$D$23</f>
        <v>0</v>
      </c>
      <c r="Y11" s="113">
        <f>'Tech sheet'!$H$32*Options!$D$23</f>
        <v>0</v>
      </c>
      <c r="Z11" s="113">
        <f>'Tech sheet'!$H$32*Options!$D$23</f>
        <v>0</v>
      </c>
      <c r="AA11" s="113">
        <f>'Tech sheet'!$H$32*Options!$D$23</f>
        <v>0</v>
      </c>
      <c r="AB11" s="114"/>
      <c r="AC11" s="113">
        <f>'Tech sheet'!$H$32*Options!$D$23</f>
        <v>0</v>
      </c>
      <c r="AD11" s="113">
        <f>'Tech sheet'!$H$32*Options!$D$23</f>
        <v>0</v>
      </c>
      <c r="AE11" s="113">
        <f>'Tech sheet'!$H$32*Options!$D$23</f>
        <v>0</v>
      </c>
      <c r="AF11" s="109"/>
      <c r="AG11" s="29"/>
      <c r="AH11" s="29"/>
      <c r="AI11" s="29"/>
      <c r="AJ11" s="29"/>
      <c r="AK11" s="29"/>
      <c r="AL11" s="29"/>
      <c r="AM11" s="29"/>
      <c r="AN11" s="29"/>
      <c r="AO11" s="29"/>
      <c r="AP11" s="29"/>
    </row>
    <row r="12" spans="1:42" ht="15.75" customHeight="1">
      <c r="A12" s="29"/>
      <c r="B12" s="67"/>
      <c r="C12" s="110" t="s">
        <v>117</v>
      </c>
      <c r="D12" s="46">
        <f>'Tech sheet'!$D$34*Sales!D10</f>
        <v>262.5</v>
      </c>
      <c r="E12" s="46">
        <f>'Tech sheet'!$D$34*Sales!E10</f>
        <v>446.25000000000006</v>
      </c>
      <c r="F12" s="46">
        <f>'Tech sheet'!$D$34*Sales!F10</f>
        <v>630</v>
      </c>
      <c r="G12" s="46">
        <f>'Tech sheet'!$D$34*Sales!G10</f>
        <v>813.75000000000011</v>
      </c>
      <c r="H12" s="46">
        <f>'Tech sheet'!$D$34*Sales!H10</f>
        <v>997.50000000000011</v>
      </c>
      <c r="I12" s="46">
        <f>'Tech sheet'!$D$34*Sales!I10</f>
        <v>1181.2500000000002</v>
      </c>
      <c r="J12" s="46">
        <f>'Tech sheet'!$D$34*Sales!J10</f>
        <v>1365</v>
      </c>
      <c r="K12" s="46">
        <f>'Tech sheet'!$D$34*Sales!K10</f>
        <v>1548.7500000000002</v>
      </c>
      <c r="L12" s="46">
        <f>'Tech sheet'!$D$34*Sales!L10</f>
        <v>1732.5000000000005</v>
      </c>
      <c r="M12" s="46">
        <f>'Tech sheet'!$D$34*Sales!M10</f>
        <v>1916.2500000000005</v>
      </c>
      <c r="N12" s="46">
        <f>'Tech sheet'!$D$34*Sales!N10</f>
        <v>2100.0000000000009</v>
      </c>
      <c r="O12" s="46">
        <f>'Tech sheet'!$D$34*Sales!O10</f>
        <v>2100</v>
      </c>
      <c r="P12" s="46">
        <f>'Tech sheet'!$D$34*Sales!P10</f>
        <v>2195.4545454545455</v>
      </c>
      <c r="Q12" s="46">
        <f>'Tech sheet'!$D$34*Sales!Q10</f>
        <v>2290.909090909091</v>
      </c>
      <c r="R12" s="46">
        <f>'Tech sheet'!$D$34*Sales!R10</f>
        <v>2386.3636363636365</v>
      </c>
      <c r="S12" s="46">
        <f>'Tech sheet'!$D$34*Sales!S10</f>
        <v>2481.818181818182</v>
      </c>
      <c r="T12" s="46">
        <f>'Tech sheet'!$D$34*Sales!T10</f>
        <v>2577.2727272727275</v>
      </c>
      <c r="U12" s="46">
        <f>'Tech sheet'!$D$34*Sales!U10</f>
        <v>2672.727272727273</v>
      </c>
      <c r="V12" s="46">
        <f>'Tech sheet'!$D$34*Sales!V10</f>
        <v>2768.1818181818185</v>
      </c>
      <c r="W12" s="46">
        <f>'Tech sheet'!$D$34*Sales!W10</f>
        <v>2863.636363636364</v>
      </c>
      <c r="X12" s="46">
        <f>'Tech sheet'!$D$34*Sales!X10</f>
        <v>2959.0909090909095</v>
      </c>
      <c r="Y12" s="46">
        <f>'Tech sheet'!$D$34*Sales!Y10</f>
        <v>3054.545454545455</v>
      </c>
      <c r="Z12" s="46">
        <f>'Tech sheet'!$D$34*Sales!Z10</f>
        <v>3150.0000000000005</v>
      </c>
      <c r="AA12" s="46">
        <f>'Tech sheet'!$D$34*Sales!AA10</f>
        <v>3150.0000000000005</v>
      </c>
      <c r="AB12" s="46"/>
      <c r="AC12" s="46">
        <f>'Tech sheet'!$D$34*12*Sales!AC10</f>
        <v>39900.000000000007</v>
      </c>
      <c r="AD12" s="46">
        <f>'Tech sheet'!$D$34*12*Sales!AD10</f>
        <v>42000.000000000007</v>
      </c>
      <c r="AE12" s="46">
        <f>'Tech sheet'!$D$34*12*Sales!AE10</f>
        <v>44100.000000000007</v>
      </c>
      <c r="AF12" s="109"/>
      <c r="AG12" s="29"/>
      <c r="AH12" s="29"/>
      <c r="AI12" s="29"/>
      <c r="AJ12" s="29"/>
      <c r="AK12" s="29"/>
      <c r="AL12" s="29"/>
      <c r="AM12" s="29"/>
      <c r="AN12" s="29"/>
      <c r="AO12" s="29"/>
      <c r="AP12" s="29"/>
    </row>
    <row r="13" spans="1:42" ht="15.75" customHeight="1">
      <c r="A13" s="29"/>
      <c r="B13" s="67"/>
      <c r="C13" s="110" t="s">
        <v>120</v>
      </c>
      <c r="D13" s="46">
        <f>D4*'Tech sheet'!$I$18</f>
        <v>0</v>
      </c>
      <c r="E13" s="46">
        <f>E4*'Tech sheet'!$I$18</f>
        <v>0</v>
      </c>
      <c r="F13" s="46">
        <f>F4*'Tech sheet'!$I$18</f>
        <v>0</v>
      </c>
      <c r="G13" s="46">
        <f>G4*'Tech sheet'!$I$18</f>
        <v>0</v>
      </c>
      <c r="H13" s="46">
        <f>H4*'Tech sheet'!$I$18</f>
        <v>0</v>
      </c>
      <c r="I13" s="46">
        <f>I4*'Tech sheet'!$I$18</f>
        <v>0</v>
      </c>
      <c r="J13" s="46">
        <f>J4*'Tech sheet'!$I$18</f>
        <v>0</v>
      </c>
      <c r="K13" s="46">
        <f>K4*'Tech sheet'!$I$18</f>
        <v>0</v>
      </c>
      <c r="L13" s="46">
        <f>L4*'Tech sheet'!$I$18</f>
        <v>0</v>
      </c>
      <c r="M13" s="46">
        <f>M4*'Tech sheet'!$I$18</f>
        <v>0</v>
      </c>
      <c r="N13" s="46">
        <f>N4*'Tech sheet'!$I$18</f>
        <v>0</v>
      </c>
      <c r="O13" s="46">
        <f>O4*'Tech sheet'!$I$18</f>
        <v>0</v>
      </c>
      <c r="P13" s="46">
        <f>P4*'Tech sheet'!$I$18</f>
        <v>0</v>
      </c>
      <c r="Q13" s="46">
        <f>Q4*'Tech sheet'!$I$18</f>
        <v>0</v>
      </c>
      <c r="R13" s="46">
        <f>R4*'Tech sheet'!$I$18</f>
        <v>0</v>
      </c>
      <c r="S13" s="46">
        <f>S4*'Tech sheet'!$I$18</f>
        <v>0</v>
      </c>
      <c r="T13" s="46">
        <f>T4*'Tech sheet'!$I$18</f>
        <v>0</v>
      </c>
      <c r="U13" s="46">
        <f>U4*'Tech sheet'!$I$18</f>
        <v>0</v>
      </c>
      <c r="V13" s="46">
        <f>V4*'Tech sheet'!$I$18</f>
        <v>0</v>
      </c>
      <c r="W13" s="46">
        <f>W4*'Tech sheet'!$I$18</f>
        <v>0</v>
      </c>
      <c r="X13" s="46">
        <f>X4*'Tech sheet'!$I$18</f>
        <v>0</v>
      </c>
      <c r="Y13" s="46">
        <f>Y4*'Tech sheet'!$I$18</f>
        <v>0</v>
      </c>
      <c r="Z13" s="46">
        <f>Z4*'Tech sheet'!$I$18</f>
        <v>0</v>
      </c>
      <c r="AA13" s="46">
        <f>AA4*'Tech sheet'!$I$18</f>
        <v>0</v>
      </c>
      <c r="AB13" s="46"/>
      <c r="AC13" s="46">
        <f>AC4*'Tech sheet'!$I$18</f>
        <v>0</v>
      </c>
      <c r="AD13" s="46">
        <f>AD4*'Tech sheet'!$I$18</f>
        <v>0</v>
      </c>
      <c r="AE13" s="46">
        <f>AE4*'Tech sheet'!$I$18</f>
        <v>0</v>
      </c>
      <c r="AF13" s="109"/>
      <c r="AG13" s="29"/>
      <c r="AH13" s="29"/>
      <c r="AI13" s="29"/>
      <c r="AJ13" s="29"/>
      <c r="AK13" s="29"/>
      <c r="AL13" s="29"/>
      <c r="AM13" s="29"/>
      <c r="AN13" s="29"/>
      <c r="AO13" s="29"/>
      <c r="AP13" s="29"/>
    </row>
    <row r="14" spans="1:42" ht="15.75" customHeight="1">
      <c r="A14" s="29"/>
      <c r="B14" s="67"/>
      <c r="C14" s="110" t="s">
        <v>121</v>
      </c>
      <c r="D14" s="46">
        <v>0</v>
      </c>
      <c r="E14" s="46">
        <v>0</v>
      </c>
      <c r="F14" s="46">
        <v>0</v>
      </c>
      <c r="G14" s="46">
        <f>'Tech sheet'!$D$29</f>
        <v>100</v>
      </c>
      <c r="H14" s="46">
        <v>0</v>
      </c>
      <c r="I14" s="46">
        <v>0</v>
      </c>
      <c r="J14" s="46">
        <v>0</v>
      </c>
      <c r="K14" s="46">
        <f>'Tech sheet'!$D$29</f>
        <v>100</v>
      </c>
      <c r="L14" s="46">
        <v>0</v>
      </c>
      <c r="M14" s="46">
        <v>0</v>
      </c>
      <c r="N14" s="46">
        <v>0</v>
      </c>
      <c r="O14" s="46">
        <f>'Tech sheet'!$D$29</f>
        <v>100</v>
      </c>
      <c r="P14" s="46">
        <v>0</v>
      </c>
      <c r="Q14" s="46">
        <v>0</v>
      </c>
      <c r="R14" s="46">
        <v>0</v>
      </c>
      <c r="S14" s="46">
        <f>'Tech sheet'!$D$29</f>
        <v>100</v>
      </c>
      <c r="T14" s="46">
        <v>0</v>
      </c>
      <c r="U14" s="46">
        <v>0</v>
      </c>
      <c r="V14" s="46">
        <v>0</v>
      </c>
      <c r="W14" s="46">
        <f>'Tech sheet'!$D$29</f>
        <v>100</v>
      </c>
      <c r="X14" s="46">
        <v>0</v>
      </c>
      <c r="Y14" s="46">
        <v>0</v>
      </c>
      <c r="Z14" s="46">
        <v>0</v>
      </c>
      <c r="AA14" s="46">
        <f>'Tech sheet'!$D$29</f>
        <v>100</v>
      </c>
      <c r="AB14" s="46"/>
      <c r="AC14" s="46">
        <f>'Tech sheet'!$D$29*4</f>
        <v>400</v>
      </c>
      <c r="AD14" s="46">
        <f>'Tech sheet'!$D$29*4</f>
        <v>400</v>
      </c>
      <c r="AE14" s="46">
        <f>'Tech sheet'!$D$29*4</f>
        <v>400</v>
      </c>
      <c r="AF14" s="109"/>
      <c r="AG14" s="29"/>
      <c r="AH14" s="29"/>
      <c r="AI14" s="29"/>
      <c r="AJ14" s="29"/>
      <c r="AK14" s="29"/>
      <c r="AL14" s="29"/>
      <c r="AM14" s="29"/>
      <c r="AN14" s="29"/>
      <c r="AO14" s="29"/>
      <c r="AP14" s="29"/>
    </row>
    <row r="15" spans="1:42" ht="15.75" customHeight="1">
      <c r="A15" s="29"/>
      <c r="B15" s="67"/>
      <c r="C15" s="115" t="s">
        <v>76</v>
      </c>
      <c r="D15" s="46">
        <f>Options!$D$15</f>
        <v>12.48</v>
      </c>
      <c r="E15" s="46">
        <f>Options!$D$15</f>
        <v>12.48</v>
      </c>
      <c r="F15" s="46">
        <f>Options!$D$15</f>
        <v>12.48</v>
      </c>
      <c r="G15" s="46">
        <f>Options!$D$15</f>
        <v>12.48</v>
      </c>
      <c r="H15" s="46">
        <f>Options!$D$15</f>
        <v>12.48</v>
      </c>
      <c r="I15" s="46">
        <f>Options!$D$15</f>
        <v>12.48</v>
      </c>
      <c r="J15" s="46">
        <f>Options!$D$15</f>
        <v>12.48</v>
      </c>
      <c r="K15" s="46">
        <f>Options!$D$15</f>
        <v>12.48</v>
      </c>
      <c r="L15" s="46">
        <f>Options!$D$15</f>
        <v>12.48</v>
      </c>
      <c r="M15" s="46">
        <f>Options!$D$15</f>
        <v>12.48</v>
      </c>
      <c r="N15" s="46">
        <f>Options!$D$15</f>
        <v>12.48</v>
      </c>
      <c r="O15" s="46">
        <f>Options!$D$15</f>
        <v>12.48</v>
      </c>
      <c r="P15" s="46">
        <f>Options!$D$15</f>
        <v>12.48</v>
      </c>
      <c r="Q15" s="46">
        <f>Options!$D$15</f>
        <v>12.48</v>
      </c>
      <c r="R15" s="46">
        <f>Options!$D$15</f>
        <v>12.48</v>
      </c>
      <c r="S15" s="46">
        <f>Options!$D$15</f>
        <v>12.48</v>
      </c>
      <c r="T15" s="46">
        <f>Options!$D$15</f>
        <v>12.48</v>
      </c>
      <c r="U15" s="46">
        <f>Options!$D$15</f>
        <v>12.48</v>
      </c>
      <c r="V15" s="46">
        <f>Options!$D$15</f>
        <v>12.48</v>
      </c>
      <c r="W15" s="46">
        <f>Options!$D$15</f>
        <v>12.48</v>
      </c>
      <c r="X15" s="46">
        <f>Options!$D$15</f>
        <v>12.48</v>
      </c>
      <c r="Y15" s="46">
        <f>Options!$D$15</f>
        <v>12.48</v>
      </c>
      <c r="Z15" s="46">
        <f>Options!$D$15</f>
        <v>12.48</v>
      </c>
      <c r="AA15" s="46">
        <f>Options!$D$15</f>
        <v>12.48</v>
      </c>
      <c r="AB15" s="46"/>
      <c r="AC15" s="46">
        <f>Options!$D$15*12</f>
        <v>149.76</v>
      </c>
      <c r="AD15" s="46">
        <f>Options!$D$15*12</f>
        <v>149.76</v>
      </c>
      <c r="AE15" s="46">
        <f>Options!$D$15*12</f>
        <v>149.76</v>
      </c>
      <c r="AF15" s="109"/>
      <c r="AG15" s="29"/>
      <c r="AH15" s="29"/>
      <c r="AI15" s="29"/>
      <c r="AJ15" s="29"/>
      <c r="AK15" s="29"/>
      <c r="AL15" s="29"/>
      <c r="AM15" s="29"/>
      <c r="AN15" s="29"/>
      <c r="AO15" s="29"/>
      <c r="AP15" s="29"/>
    </row>
    <row r="16" spans="1:42" ht="15.75" customHeight="1">
      <c r="A16" s="29"/>
      <c r="B16" s="67"/>
      <c r="C16" s="110" t="s">
        <v>44</v>
      </c>
      <c r="D16" s="46">
        <f>'Tech sheet'!$D$30</f>
        <v>30</v>
      </c>
      <c r="E16" s="46">
        <f>'Tech sheet'!$D$30</f>
        <v>30</v>
      </c>
      <c r="F16" s="46">
        <f>'Tech sheet'!$D$30</f>
        <v>30</v>
      </c>
      <c r="G16" s="46">
        <f>'Tech sheet'!$D$30</f>
        <v>30</v>
      </c>
      <c r="H16" s="46">
        <f>'Tech sheet'!$D$30</f>
        <v>30</v>
      </c>
      <c r="I16" s="46">
        <f>'Tech sheet'!$D$30</f>
        <v>30</v>
      </c>
      <c r="J16" s="46">
        <f>'Tech sheet'!$D$30</f>
        <v>30</v>
      </c>
      <c r="K16" s="46">
        <f>'Tech sheet'!$D$30</f>
        <v>30</v>
      </c>
      <c r="L16" s="46">
        <f>'Tech sheet'!$D$30</f>
        <v>30</v>
      </c>
      <c r="M16" s="46">
        <f>'Tech sheet'!$D$30</f>
        <v>30</v>
      </c>
      <c r="N16" s="46">
        <f>'Tech sheet'!$D$30</f>
        <v>30</v>
      </c>
      <c r="O16" s="46">
        <f>'Tech sheet'!$D$30</f>
        <v>30</v>
      </c>
      <c r="P16" s="46">
        <f>'Tech sheet'!$D$30</f>
        <v>30</v>
      </c>
      <c r="Q16" s="46">
        <f>'Tech sheet'!$D$30</f>
        <v>30</v>
      </c>
      <c r="R16" s="46">
        <f>'Tech sheet'!$D$30</f>
        <v>30</v>
      </c>
      <c r="S16" s="46">
        <f>'Tech sheet'!$D$30</f>
        <v>30</v>
      </c>
      <c r="T16" s="46">
        <f>'Tech sheet'!$D$30</f>
        <v>30</v>
      </c>
      <c r="U16" s="46">
        <f>'Tech sheet'!$D$30</f>
        <v>30</v>
      </c>
      <c r="V16" s="46">
        <f>'Tech sheet'!$D$30</f>
        <v>30</v>
      </c>
      <c r="W16" s="46">
        <f>'Tech sheet'!$D$30</f>
        <v>30</v>
      </c>
      <c r="X16" s="46">
        <f>'Tech sheet'!$D$30</f>
        <v>30</v>
      </c>
      <c r="Y16" s="46">
        <f>'Tech sheet'!$D$30</f>
        <v>30</v>
      </c>
      <c r="Z16" s="46">
        <f>'Tech sheet'!$D$30</f>
        <v>30</v>
      </c>
      <c r="AA16" s="46">
        <f>'Tech sheet'!$D$30</f>
        <v>30</v>
      </c>
      <c r="AB16" s="46"/>
      <c r="AC16" s="46">
        <f>'Tech sheet'!$D$30*12</f>
        <v>360</v>
      </c>
      <c r="AD16" s="46">
        <f>'Tech sheet'!$D$30*12</f>
        <v>360</v>
      </c>
      <c r="AE16" s="46">
        <f>'Tech sheet'!$D$30*12</f>
        <v>360</v>
      </c>
      <c r="AF16" s="109"/>
      <c r="AG16" s="29"/>
      <c r="AH16" s="29"/>
      <c r="AI16" s="29"/>
      <c r="AJ16" s="29"/>
      <c r="AK16" s="29"/>
      <c r="AL16" s="29"/>
      <c r="AM16" s="29"/>
      <c r="AN16" s="29"/>
      <c r="AO16" s="29"/>
      <c r="AP16" s="29"/>
    </row>
    <row r="17" spans="1:42" ht="15.75" customHeight="1">
      <c r="A17" s="29"/>
      <c r="B17" s="67"/>
      <c r="C17" s="110" t="s">
        <v>122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f>'Tech sheet'!$D$31</f>
        <v>150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'Tech sheet'!$D$31</f>
        <v>150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f>'Tech sheet'!$D$31</f>
        <v>150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f>'Tech sheet'!$D$31</f>
        <v>150</v>
      </c>
      <c r="AB17" s="46"/>
      <c r="AC17" s="46">
        <f>'Tech sheet'!$D$31*2</f>
        <v>300</v>
      </c>
      <c r="AD17" s="46">
        <f>'Tech sheet'!$D$31*2</f>
        <v>300</v>
      </c>
      <c r="AE17" s="46">
        <f>'Tech sheet'!$D$31*2</f>
        <v>300</v>
      </c>
      <c r="AF17" s="109"/>
      <c r="AG17" s="29"/>
      <c r="AH17" s="29"/>
      <c r="AI17" s="29"/>
      <c r="AJ17" s="29"/>
      <c r="AK17" s="29"/>
      <c r="AL17" s="29"/>
      <c r="AM17" s="29"/>
      <c r="AN17" s="29"/>
      <c r="AO17" s="29"/>
      <c r="AP17" s="29"/>
    </row>
    <row r="18" spans="1:42" ht="15.75" customHeight="1">
      <c r="A18" s="29"/>
      <c r="B18" s="67"/>
      <c r="C18" s="110" t="s">
        <v>4</v>
      </c>
      <c r="D18" s="46">
        <f>'Tech sheet'!$I$32*D4*Options!$D$23</f>
        <v>0</v>
      </c>
      <c r="E18" s="46">
        <f>'Tech sheet'!$I$32*E4*Options!$D$23</f>
        <v>0</v>
      </c>
      <c r="F18" s="46">
        <f>'Tech sheet'!$I$32*F4*Options!$D$23</f>
        <v>0</v>
      </c>
      <c r="G18" s="46">
        <f>'Tech sheet'!$I$32*G4*Options!$D$23</f>
        <v>0</v>
      </c>
      <c r="H18" s="46">
        <f>'Tech sheet'!$I$32*H4*Options!$D$23</f>
        <v>0</v>
      </c>
      <c r="I18" s="46">
        <f>'Tech sheet'!$I$32*I4*Options!$D$23</f>
        <v>0</v>
      </c>
      <c r="J18" s="46">
        <f>'Tech sheet'!$I$32*J4*Options!$D$23</f>
        <v>0</v>
      </c>
      <c r="K18" s="46">
        <f>'Tech sheet'!$I$32*K4*Options!$D$23</f>
        <v>0</v>
      </c>
      <c r="L18" s="46">
        <f>'Tech sheet'!$I$32*L4*Options!$D$23</f>
        <v>0</v>
      </c>
      <c r="M18" s="46">
        <f>'Tech sheet'!$I$32*M4*Options!$D$23</f>
        <v>0</v>
      </c>
      <c r="N18" s="46">
        <f>'Tech sheet'!$I$32*N4*Options!$D$23</f>
        <v>0</v>
      </c>
      <c r="O18" s="46">
        <f>'Tech sheet'!$I$32*O4*Options!$D$23</f>
        <v>0</v>
      </c>
      <c r="P18" s="46">
        <f>'Tech sheet'!$I$32*P4*Options!$D$23</f>
        <v>0</v>
      </c>
      <c r="Q18" s="46">
        <f>'Tech sheet'!$I$32*Q4*Options!$D$23</f>
        <v>0</v>
      </c>
      <c r="R18" s="46">
        <f>'Tech sheet'!$I$32*R4*Options!$D$23</f>
        <v>0</v>
      </c>
      <c r="S18" s="46">
        <f>'Tech sheet'!$I$32*S4*Options!$D$23</f>
        <v>0</v>
      </c>
      <c r="T18" s="46">
        <f>'Tech sheet'!$I$32*T4*Options!$D$23</f>
        <v>0</v>
      </c>
      <c r="U18" s="46">
        <f>'Tech sheet'!$I$32*U4*Options!$D$23</f>
        <v>0</v>
      </c>
      <c r="V18" s="46">
        <f>'Tech sheet'!$I$32*V4*Options!$D$23</f>
        <v>0</v>
      </c>
      <c r="W18" s="46">
        <f>'Tech sheet'!$I$32*W4*Options!$D$23</f>
        <v>0</v>
      </c>
      <c r="X18" s="46">
        <f>'Tech sheet'!$I$32*X4*Options!$D$23</f>
        <v>0</v>
      </c>
      <c r="Y18" s="46">
        <f>'Tech sheet'!$I$32*Y4*Options!$D$23</f>
        <v>0</v>
      </c>
      <c r="Z18" s="46">
        <f>'Tech sheet'!$I$32*Z4*Options!$D$23</f>
        <v>0</v>
      </c>
      <c r="AA18" s="46">
        <f>'Tech sheet'!$I$32*AA4*Options!$D$23</f>
        <v>0</v>
      </c>
      <c r="AB18" s="46"/>
      <c r="AC18" s="46">
        <f>'Tech sheet'!$I$32*AC4*Options!$D$23</f>
        <v>0</v>
      </c>
      <c r="AD18" s="46">
        <f>'Tech sheet'!$I$32*AD4*Options!$D$23</f>
        <v>0</v>
      </c>
      <c r="AE18" s="46">
        <f>'Tech sheet'!$I$32*AE4*Options!$D$23</f>
        <v>0</v>
      </c>
      <c r="AF18" s="109"/>
      <c r="AG18" s="29"/>
      <c r="AH18" s="29"/>
      <c r="AI18" s="29"/>
      <c r="AJ18" s="29"/>
      <c r="AK18" s="29"/>
      <c r="AL18" s="29"/>
      <c r="AM18" s="29"/>
      <c r="AN18" s="29"/>
      <c r="AO18" s="29"/>
      <c r="AP18" s="29"/>
    </row>
    <row r="19" spans="1:42" ht="7.5" customHeight="1">
      <c r="A19" s="29"/>
      <c r="B19" s="67"/>
      <c r="C19" s="110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109"/>
      <c r="AG19" s="29"/>
      <c r="AH19" s="29"/>
      <c r="AI19" s="29"/>
      <c r="AJ19" s="29"/>
      <c r="AK19" s="29"/>
      <c r="AL19" s="29"/>
      <c r="AM19" s="29"/>
      <c r="AN19" s="29"/>
      <c r="AO19" s="29"/>
      <c r="AP19" s="29"/>
    </row>
    <row r="20" spans="1:42" ht="15.75" customHeight="1">
      <c r="A20" s="29"/>
      <c r="B20" s="67"/>
      <c r="C20" s="110" t="s">
        <v>41</v>
      </c>
      <c r="D20" s="46">
        <f>'Tech sheet'!$D$35</f>
        <v>495</v>
      </c>
      <c r="E20" s="46">
        <f>'Tech sheet'!$D$35</f>
        <v>495</v>
      </c>
      <c r="F20" s="46">
        <f>'Tech sheet'!$D$35</f>
        <v>495</v>
      </c>
      <c r="G20" s="46">
        <f>'Tech sheet'!$D$35</f>
        <v>495</v>
      </c>
      <c r="H20" s="46">
        <f>'Tech sheet'!$D$35</f>
        <v>495</v>
      </c>
      <c r="I20" s="46">
        <f>'Tech sheet'!$D$35</f>
        <v>495</v>
      </c>
      <c r="J20" s="46">
        <f>'Tech sheet'!$D$35</f>
        <v>495</v>
      </c>
      <c r="K20" s="46">
        <f>'Tech sheet'!$D$35</f>
        <v>495</v>
      </c>
      <c r="L20" s="46">
        <f>'Tech sheet'!$D$35</f>
        <v>495</v>
      </c>
      <c r="M20" s="46">
        <f>'Tech sheet'!$D$35</f>
        <v>495</v>
      </c>
      <c r="N20" s="46">
        <f>'Tech sheet'!$D$35</f>
        <v>495</v>
      </c>
      <c r="O20" s="46">
        <f>'Tech sheet'!$D$35</f>
        <v>495</v>
      </c>
      <c r="P20" s="46">
        <f>'Tech sheet'!$D$35</f>
        <v>495</v>
      </c>
      <c r="Q20" s="46">
        <f>'Tech sheet'!$D$35</f>
        <v>495</v>
      </c>
      <c r="R20" s="46">
        <f>'Tech sheet'!$D$35</f>
        <v>495</v>
      </c>
      <c r="S20" s="46">
        <f>'Tech sheet'!$D$35</f>
        <v>495</v>
      </c>
      <c r="T20" s="46">
        <f>'Tech sheet'!$D$35</f>
        <v>495</v>
      </c>
      <c r="U20" s="46">
        <f>'Tech sheet'!$D$35</f>
        <v>495</v>
      </c>
      <c r="V20" s="46">
        <f>'Tech sheet'!$D$35</f>
        <v>495</v>
      </c>
      <c r="W20" s="46">
        <f>'Tech sheet'!$D$35</f>
        <v>495</v>
      </c>
      <c r="X20" s="46">
        <f>'Tech sheet'!$D$35</f>
        <v>495</v>
      </c>
      <c r="Y20" s="46">
        <f>'Tech sheet'!$D$35</f>
        <v>495</v>
      </c>
      <c r="Z20" s="46">
        <f>'Tech sheet'!$D$35</f>
        <v>495</v>
      </c>
      <c r="AA20" s="46">
        <f>'Tech sheet'!$D$35</f>
        <v>495</v>
      </c>
      <c r="AB20" s="46"/>
      <c r="AC20" s="46">
        <f>'Tech sheet'!$D$35*12</f>
        <v>5940</v>
      </c>
      <c r="AD20" s="46">
        <f>'Tech sheet'!$D$35*12</f>
        <v>5940</v>
      </c>
      <c r="AE20" s="46">
        <f>'Tech sheet'!$D$35*12</f>
        <v>5940</v>
      </c>
      <c r="AF20" s="109"/>
      <c r="AG20" s="29"/>
      <c r="AH20" s="29"/>
      <c r="AI20" s="29"/>
      <c r="AJ20" s="29"/>
      <c r="AK20" s="29"/>
      <c r="AL20" s="29"/>
      <c r="AM20" s="29"/>
      <c r="AN20" s="29"/>
      <c r="AO20" s="29"/>
      <c r="AP20" s="29"/>
    </row>
    <row r="21" spans="1:42" ht="7.5" customHeight="1">
      <c r="A21" s="29"/>
      <c r="B21" s="67"/>
      <c r="C21" s="110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109"/>
      <c r="AG21" s="29"/>
      <c r="AH21" s="29"/>
      <c r="AI21" s="29"/>
      <c r="AJ21" s="29"/>
      <c r="AK21" s="29"/>
      <c r="AL21" s="29"/>
      <c r="AM21" s="29"/>
      <c r="AN21" s="29"/>
      <c r="AO21" s="29"/>
      <c r="AP21" s="29"/>
    </row>
    <row r="22" spans="1:42" ht="15.75" customHeight="1">
      <c r="A22" s="29"/>
      <c r="B22" s="67"/>
      <c r="C22" s="110" t="s">
        <v>79</v>
      </c>
      <c r="D22" s="46">
        <f>IF('Tech sheet'!$K$16=1,((D4*'Tech sheet'!$I$21)),D4*'Tech sheet'!$I$22)</f>
        <v>756</v>
      </c>
      <c r="E22" s="46">
        <f>IF('Tech sheet'!$K$16=1,((E4*'Tech sheet'!$I$21)+(IF(E4&lt;300000,0,((E4-300000)*1%)))),E4*'Tech sheet'!$I$22)</f>
        <v>1285.2</v>
      </c>
      <c r="F22" s="46">
        <f>IF('Tech sheet'!$K$16=1,((F4*'Tech sheet'!$I$21)+(IF(F4&lt;300000,0,((F4-300000)*1%)))),F4*'Tech sheet'!$I$22)</f>
        <v>1814.3999999999999</v>
      </c>
      <c r="G22" s="46">
        <f>IF('Tech sheet'!$K$16=1,((G4*'Tech sheet'!$I$21)+(IF(G4&lt;300000,0,((G4-300000)*1%)))),G4*'Tech sheet'!$I$22)</f>
        <v>2343.6</v>
      </c>
      <c r="H22" s="46">
        <f>IF('Tech sheet'!$K$16=1,((H4*'Tech sheet'!$I$21)+(IF(H4&lt;300000,0,((H4-300000)*1%)))),H4*'Tech sheet'!$I$22)</f>
        <v>2872.7999999999997</v>
      </c>
      <c r="I22" s="46">
        <f>IF('Tech sheet'!$K$16=1,((I4*'Tech sheet'!$I$21)+(IF(I4&lt;300000,0,((I4-300000)*1%)))),I4*'Tech sheet'!$I$22)</f>
        <v>3402</v>
      </c>
      <c r="J22" s="46">
        <f>IF('Tech sheet'!$K$16=1,((J4*'Tech sheet'!$I$21)+(IF(J4&lt;300000,0,((J4-300000)*1%)))),J4*'Tech sheet'!$I$22)</f>
        <v>3931.2</v>
      </c>
      <c r="K22" s="46">
        <f>IF('Tech sheet'!$K$16=1,((K4*'Tech sheet'!$I$21)+(IF(K4&lt;300000,0,((K4-300000)*1%)))),K4*'Tech sheet'!$I$22)</f>
        <v>4460.3999999999996</v>
      </c>
      <c r="L22" s="46">
        <f>IF('Tech sheet'!$K$16=1,((L4*'Tech sheet'!$I$21)+(IF(L4&lt;300000,0,((L4-300000)*1%)))),L4*'Tech sheet'!$I$22)</f>
        <v>4989.5999999999995</v>
      </c>
      <c r="M22" s="46">
        <f>IF('Tech sheet'!$K$16=1,((M4*'Tech sheet'!$I$21)+(IF(M4&lt;300000,0,((M4-300000)*1%)))),M4*'Tech sheet'!$I$22)</f>
        <v>5518.8</v>
      </c>
      <c r="N22" s="46">
        <f>IF('Tech sheet'!$K$16=1,((N4*'Tech sheet'!$I$21)+(IF(N4&lt;300000,0,((N4-300000)*1%)))),N4*'Tech sheet'!$I$22)</f>
        <v>6048</v>
      </c>
      <c r="O22" s="46">
        <f>IF('Tech sheet'!$K$16=1,((O4*'Tech sheet'!$I$21)+(IF(O4&lt;300000,0,((O4-300000)*1%)))),O4*'Tech sheet'!$I$22)</f>
        <v>6048</v>
      </c>
      <c r="P22" s="46">
        <f>IF('Tech sheet'!$K$16=1,((P4*'Tech sheet'!$I$21)+(IF(P4&lt;300000,0,((P4-300000)*1%)))),P4*'Tech sheet'!$I$22)</f>
        <v>6321</v>
      </c>
      <c r="Q22" s="46">
        <f>IF('Tech sheet'!$K$16=1,((Q4*'Tech sheet'!$I$21)+(IF(Q4&lt;300000,0,((Q4-300000)*1%)))),Q4*'Tech sheet'!$I$22)</f>
        <v>6594</v>
      </c>
      <c r="R22" s="46">
        <f>IF('Tech sheet'!$K$16=1,((R4*'Tech sheet'!$I$21)+(IF(R4&lt;300000,0,((R4-300000)*1%)))),R4*'Tech sheet'!$I$22)</f>
        <v>6871.2</v>
      </c>
      <c r="S22" s="46">
        <f>IF('Tech sheet'!$K$16=1,((S4*'Tech sheet'!$I$21)+(IF(S4&lt;300000,0,((S4-300000)*1%)))),S4*'Tech sheet'!$I$22)</f>
        <v>7144.2</v>
      </c>
      <c r="T22" s="46">
        <f>IF('Tech sheet'!$K$16=1,((T4*'Tech sheet'!$I$21)+(IF(T4&lt;300000,0,((T4-300000)*1%)))),T4*'Tech sheet'!$I$22)</f>
        <v>7421.4</v>
      </c>
      <c r="U22" s="46">
        <f>IF('Tech sheet'!$K$16=1,((U4*'Tech sheet'!$I$21)+(IF(U4&lt;300000,0,((U4-300000)*1%)))),U4*'Tech sheet'!$I$22)</f>
        <v>7694.4</v>
      </c>
      <c r="V22" s="46">
        <f>IF('Tech sheet'!$K$16=1,((V4*'Tech sheet'!$I$21)+(IF(V4&lt;300000,0,((V4-300000)*1%)))),V4*'Tech sheet'!$I$22)</f>
        <v>7971.5999999999995</v>
      </c>
      <c r="W22" s="46">
        <f>IF('Tech sheet'!$K$16=1,((W4*'Tech sheet'!$I$21)+(IF(W4&lt;300000,0,((W4-300000)*1%)))),W4*'Tech sheet'!$I$22)</f>
        <v>8244.6</v>
      </c>
      <c r="X22" s="46">
        <f>IF('Tech sheet'!$K$16=1,((X4*'Tech sheet'!$I$21)+(IF(X4&lt;300000,0,((X4-300000)*1%)))),X4*'Tech sheet'!$I$22)</f>
        <v>8521.7999999999993</v>
      </c>
      <c r="Y22" s="46">
        <f>IF('Tech sheet'!$K$16=1,((Y4*'Tech sheet'!$I$21)+(IF(Y4&lt;300000,0,((Y4-300000)*1%)))),Y4*'Tech sheet'!$I$22)</f>
        <v>8794.7999999999993</v>
      </c>
      <c r="Z22" s="46">
        <f>IF('Tech sheet'!$K$16=1,((Z4*'Tech sheet'!$I$21)+(IF(Z4&lt;300000,0,((Z4-300000)*1%)))),Z4*'Tech sheet'!$I$22)</f>
        <v>9072</v>
      </c>
      <c r="AA22" s="46">
        <f>IF('Tech sheet'!$K$16=1,((AA4*'Tech sheet'!$I$21)+(IF(AA4&lt;300000,0,((AA4-300000)*1%)))),AA4*'Tech sheet'!$I$22)</f>
        <v>9072</v>
      </c>
      <c r="AB22" s="46"/>
      <c r="AC22" s="46">
        <f>IF('Tech sheet'!$K$16=1,((AC4*'Tech sheet'!$I$21)+(IF(AC4&lt;300000,0,((AC4-300000)*1%)))),AC4*'Tech sheet'!$I$22)</f>
        <v>117384</v>
      </c>
      <c r="AD22" s="46">
        <f>IF('Tech sheet'!$K$16=1,((AD4*'Tech sheet'!$I$21)+(IF(AD4&lt;300000,0,((AD4-300000)*1%)))),AD4*'Tech sheet'!$I$22)</f>
        <v>123720</v>
      </c>
      <c r="AE22" s="46">
        <f>IF('Tech sheet'!$K$16=1,((AE4*'Tech sheet'!$I$21)+(IF(AE4&lt;300000,0,((AE4-300000)*1%)))),AE4*'Tech sheet'!$I$22)</f>
        <v>130056</v>
      </c>
      <c r="AF22" s="109"/>
      <c r="AG22" s="29"/>
      <c r="AH22" s="29"/>
      <c r="AI22" s="29"/>
      <c r="AJ22" s="29"/>
      <c r="AK22" s="29"/>
      <c r="AL22" s="29"/>
      <c r="AM22" s="29"/>
      <c r="AN22" s="29"/>
      <c r="AO22" s="29"/>
      <c r="AP22" s="29"/>
    </row>
    <row r="23" spans="1:42" ht="15.75" customHeight="1">
      <c r="A23" s="29"/>
      <c r="B23" s="67"/>
      <c r="C23" s="110" t="s">
        <v>5</v>
      </c>
      <c r="D23" s="46">
        <f>IF('Tech sheet'!$J$26=2,D8*43%,IF('Tech sheet'!$J$26=1,0,(D8+D18)*43%))</f>
        <v>0</v>
      </c>
      <c r="E23" s="46">
        <f>IF('Tech sheet'!$J$26=2,E8*43%,IF('Tech sheet'!$J$26=1,0,(E8+E18)*43%))</f>
        <v>0</v>
      </c>
      <c r="F23" s="46">
        <f>IF('Tech sheet'!$J$26=2,F8*43%,IF('Tech sheet'!$J$26=1,0,(F8+F18)*43%))</f>
        <v>0</v>
      </c>
      <c r="G23" s="46">
        <f>IF('Tech sheet'!$J$26=2,G8*43%,IF('Tech sheet'!$J$26=1,0,(G8+G18)*43%))</f>
        <v>0</v>
      </c>
      <c r="H23" s="46">
        <f>IF('Tech sheet'!$J$26=2,H8*43%,IF('Tech sheet'!$J$26=1,0,(H8+H18)*43%))</f>
        <v>0</v>
      </c>
      <c r="I23" s="46">
        <f>IF('Tech sheet'!$J$26=2,I8*43%,IF('Tech sheet'!$J$26=1,0,(I8+I18)*43%))</f>
        <v>0</v>
      </c>
      <c r="J23" s="46">
        <f>IF('Tech sheet'!$J$26=2,J8*43%,IF('Tech sheet'!$J$26=1,0,(J8+J18)*43%))</f>
        <v>0</v>
      </c>
      <c r="K23" s="46">
        <f>IF('Tech sheet'!$J$26=2,K8*43%,IF('Tech sheet'!$J$26=1,0,(K8+K18)*43%))</f>
        <v>0</v>
      </c>
      <c r="L23" s="46">
        <f>IF('Tech sheet'!$J$26=2,L8*43%,IF('Tech sheet'!$J$26=1,0,(L8+L18)*43%))</f>
        <v>0</v>
      </c>
      <c r="M23" s="46">
        <f>IF('Tech sheet'!$J$26=2,M8*43%,IF('Tech sheet'!$J$26=1,0,(M8+M18)*43%))</f>
        <v>0</v>
      </c>
      <c r="N23" s="46">
        <f>IF('Tech sheet'!$J$26=2,N8*43%,IF('Tech sheet'!$J$26=1,0,(N8+N18)*43%))</f>
        <v>0</v>
      </c>
      <c r="O23" s="46">
        <f>IF('Tech sheet'!$J$26=2,O8*43%,IF('Tech sheet'!$J$26=1,0,(O8+O18)*43%))</f>
        <v>0</v>
      </c>
      <c r="P23" s="46">
        <f>IF('Tech sheet'!$J$26=2,P8*43%,IF('Tech sheet'!$J$26=1,0,(P8+P18)*43%))</f>
        <v>0</v>
      </c>
      <c r="Q23" s="46">
        <f>IF('Tech sheet'!$J$26=2,Q8*43%,IF('Tech sheet'!$J$26=1,0,(Q8+Q18)*43%))</f>
        <v>0</v>
      </c>
      <c r="R23" s="46">
        <f>IF('Tech sheet'!$J$26=2,R8*43%,IF('Tech sheet'!$J$26=1,0,(R8+R18)*43%))</f>
        <v>0</v>
      </c>
      <c r="S23" s="46">
        <f>IF('Tech sheet'!$J$26=2,S8*43%,IF('Tech sheet'!$J$26=1,0,(S8+S18)*43%))</f>
        <v>0</v>
      </c>
      <c r="T23" s="46">
        <f>IF('Tech sheet'!$J$26=2,T8*43%,IF('Tech sheet'!$J$26=1,0,(T8+T18)*43%))</f>
        <v>0</v>
      </c>
      <c r="U23" s="46">
        <f>IF('Tech sheet'!$J$26=2,U8*43%,IF('Tech sheet'!$J$26=1,0,(U8+U18)*43%))</f>
        <v>0</v>
      </c>
      <c r="V23" s="46">
        <f>IF('Tech sheet'!$J$26=2,V8*43%,IF('Tech sheet'!$J$26=1,0,(V8+V18)*43%))</f>
        <v>0</v>
      </c>
      <c r="W23" s="46">
        <f>IF('Tech sheet'!$J$26=2,W8*43%,IF('Tech sheet'!$J$26=1,0,(W8+W18)*43%))</f>
        <v>0</v>
      </c>
      <c r="X23" s="46">
        <f>IF('Tech sheet'!$J$26=2,X8*43%,IF('Tech sheet'!$J$26=1,0,(X8+X18)*43%))</f>
        <v>0</v>
      </c>
      <c r="Y23" s="46">
        <f>IF('Tech sheet'!$J$26=2,Y8*43%,IF('Tech sheet'!$J$26=1,0,(Y8+Y18)*43%))</f>
        <v>0</v>
      </c>
      <c r="Z23" s="46">
        <f>IF('Tech sheet'!$J$26=2,Z8*43%,IF('Tech sheet'!$J$26=1,0,(Z8+Z18)*43%))</f>
        <v>0</v>
      </c>
      <c r="AA23" s="46">
        <f>IF('Tech sheet'!$J$26=2,AA8*43%,IF('Tech sheet'!$J$26=1,0,(AA8+AA18)*43%))</f>
        <v>0</v>
      </c>
      <c r="AB23" s="46"/>
      <c r="AC23" s="46">
        <f>IF('Tech sheet'!$J$26=2,AC8*43%,IF('Tech sheet'!$J$26=1,0,(AC8+AC18)*43%))</f>
        <v>0</v>
      </c>
      <c r="AD23" s="46">
        <f>IF('Tech sheet'!$J$26=2,AD8*43%,IF('Tech sheet'!$J$26=1,0,(AD8+AD18)*43%))</f>
        <v>0</v>
      </c>
      <c r="AE23" s="46">
        <f>IF('Tech sheet'!$J$26=2,AE8*43%,IF('Tech sheet'!$J$26=1,0,(AE8+AE18)*43%))</f>
        <v>0</v>
      </c>
      <c r="AF23" s="109"/>
      <c r="AG23" s="29"/>
      <c r="AH23" s="29"/>
      <c r="AI23" s="29"/>
      <c r="AJ23" s="29"/>
      <c r="AK23" s="29"/>
      <c r="AL23" s="29"/>
      <c r="AM23" s="29"/>
      <c r="AN23" s="29"/>
      <c r="AO23" s="29"/>
      <c r="AP23" s="29"/>
    </row>
    <row r="24" spans="1:42" ht="15.75" customHeight="1">
      <c r="A24" s="29"/>
      <c r="B24" s="67"/>
      <c r="C24" s="110" t="s">
        <v>124</v>
      </c>
      <c r="D24" s="46">
        <f>D4*3%</f>
        <v>108</v>
      </c>
      <c r="E24" s="46">
        <f>E4*3%</f>
        <v>183.6</v>
      </c>
      <c r="F24" s="46">
        <f>F4*3%</f>
        <v>259.2</v>
      </c>
      <c r="G24" s="46">
        <f>G4*3%</f>
        <v>334.8</v>
      </c>
      <c r="H24" s="46">
        <f>H4*3%</f>
        <v>410.4</v>
      </c>
      <c r="I24" s="46">
        <f>I4*3%</f>
        <v>486</v>
      </c>
      <c r="J24" s="46">
        <f>J4*3%</f>
        <v>561.6</v>
      </c>
      <c r="K24" s="46">
        <f>K4*3%</f>
        <v>637.19999999999993</v>
      </c>
      <c r="L24" s="46">
        <f>L4*3%</f>
        <v>712.8</v>
      </c>
      <c r="M24" s="46">
        <f>M4*3%</f>
        <v>788.4</v>
      </c>
      <c r="N24" s="46">
        <f>N4*3%</f>
        <v>864</v>
      </c>
      <c r="O24" s="46">
        <f>O4*3%</f>
        <v>864</v>
      </c>
      <c r="P24" s="46">
        <f>P4*3%</f>
        <v>903</v>
      </c>
      <c r="Q24" s="46">
        <f>Q4*3%</f>
        <v>942</v>
      </c>
      <c r="R24" s="46">
        <f>R4*3%</f>
        <v>981.59999999999991</v>
      </c>
      <c r="S24" s="46">
        <f>S4*3%</f>
        <v>1020.5999999999999</v>
      </c>
      <c r="T24" s="46">
        <f>T4*3%</f>
        <v>1060.2</v>
      </c>
      <c r="U24" s="46">
        <f>U4*3%</f>
        <v>1099.2</v>
      </c>
      <c r="V24" s="46">
        <f>V4*3%</f>
        <v>1138.8</v>
      </c>
      <c r="W24" s="46">
        <f>W4*3%</f>
        <v>1177.8</v>
      </c>
      <c r="X24" s="46">
        <f>X4*3%</f>
        <v>1217.3999999999999</v>
      </c>
      <c r="Y24" s="46">
        <f>Y4*3%</f>
        <v>1256.3999999999999</v>
      </c>
      <c r="Z24" s="46">
        <f>Z4*3%</f>
        <v>1296</v>
      </c>
      <c r="AA24" s="46">
        <f>AA4*3%</f>
        <v>1296</v>
      </c>
      <c r="AB24" s="46"/>
      <c r="AC24" s="46">
        <f>AC4*3%</f>
        <v>16416</v>
      </c>
      <c r="AD24" s="46">
        <f>AD4*3%</f>
        <v>17280</v>
      </c>
      <c r="AE24" s="46">
        <f>AE4*3%</f>
        <v>18144</v>
      </c>
      <c r="AF24" s="109"/>
      <c r="AG24" s="29"/>
      <c r="AH24" s="29"/>
      <c r="AI24" s="29"/>
      <c r="AJ24" s="29"/>
      <c r="AK24" s="29"/>
      <c r="AL24" s="29"/>
      <c r="AM24" s="29"/>
      <c r="AN24" s="29"/>
      <c r="AO24" s="29"/>
      <c r="AP24" s="29"/>
    </row>
    <row r="25" spans="1:42" ht="7.5" customHeight="1">
      <c r="A25" s="29"/>
      <c r="B25" s="67"/>
      <c r="C25" s="116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109"/>
      <c r="AG25" s="29"/>
      <c r="AH25" s="29"/>
      <c r="AI25" s="29"/>
      <c r="AJ25" s="29"/>
      <c r="AK25" s="29"/>
      <c r="AL25" s="29"/>
      <c r="AM25" s="29"/>
      <c r="AN25" s="29"/>
      <c r="AO25" s="29"/>
      <c r="AP25" s="29"/>
    </row>
    <row r="26" spans="1:42" ht="15.75" customHeight="1">
      <c r="A26" s="29"/>
      <c r="B26" s="67"/>
      <c r="C26" s="117" t="s">
        <v>125</v>
      </c>
      <c r="D26" s="118">
        <f>D4-D6</f>
        <v>1936.02</v>
      </c>
      <c r="E26" s="118">
        <f>E4-E6</f>
        <v>3667.47</v>
      </c>
      <c r="F26" s="118">
        <f>F4-F6</f>
        <v>5398.92</v>
      </c>
      <c r="G26" s="118">
        <f>G4-G6</f>
        <v>7030.37</v>
      </c>
      <c r="H26" s="118">
        <f>H4-H6</f>
        <v>8861.82</v>
      </c>
      <c r="I26" s="118">
        <f>I4-I6</f>
        <v>10443.27</v>
      </c>
      <c r="J26" s="118">
        <f>J4-J6</f>
        <v>12324.72</v>
      </c>
      <c r="K26" s="118">
        <f>K4-K6</f>
        <v>13956.17</v>
      </c>
      <c r="L26" s="118">
        <f>L4-L6</f>
        <v>15787.619999999999</v>
      </c>
      <c r="M26" s="118">
        <f>M4-M6</f>
        <v>17519.07</v>
      </c>
      <c r="N26" s="118">
        <f>N4-N6</f>
        <v>19250.519999999997</v>
      </c>
      <c r="O26" s="118">
        <f>O4-O6</f>
        <v>19000.52</v>
      </c>
      <c r="P26" s="118">
        <f>P4-P6</f>
        <v>20143.065454545453</v>
      </c>
      <c r="Q26" s="118">
        <f>Q4-Q6</f>
        <v>21035.610909090909</v>
      </c>
      <c r="R26" s="118">
        <f>R4-R6</f>
        <v>21943.356363636361</v>
      </c>
      <c r="S26" s="118">
        <f>S4-S6</f>
        <v>22735.901818181817</v>
      </c>
      <c r="T26" s="118">
        <f>T4-T6</f>
        <v>23743.64727272727</v>
      </c>
      <c r="U26" s="118">
        <f>U4-U6</f>
        <v>24486.192727272726</v>
      </c>
      <c r="V26" s="118">
        <f>V4-V6</f>
        <v>25543.938181818183</v>
      </c>
      <c r="W26" s="118">
        <f>W4-W6</f>
        <v>26336.483636363635</v>
      </c>
      <c r="X26" s="118">
        <f>X4-X6</f>
        <v>27344.229090909092</v>
      </c>
      <c r="Y26" s="118">
        <f>Y4-Y6</f>
        <v>28236.774545454544</v>
      </c>
      <c r="Z26" s="118">
        <f>Z4-Z6</f>
        <v>29144.52</v>
      </c>
      <c r="AA26" s="118">
        <f>AA4-AA6</f>
        <v>28894.52</v>
      </c>
      <c r="AB26" s="42"/>
      <c r="AC26" s="42">
        <f>AC4-AC6</f>
        <v>366350.24</v>
      </c>
      <c r="AD26" s="42">
        <f>AD4-AD6</f>
        <v>385850.24</v>
      </c>
      <c r="AE26" s="42">
        <f>AE4-AE6</f>
        <v>405350.24</v>
      </c>
      <c r="AF26" s="109"/>
      <c r="AG26" s="29"/>
      <c r="AH26" s="29"/>
      <c r="AI26" s="29"/>
      <c r="AJ26" s="29"/>
      <c r="AK26" s="29"/>
      <c r="AL26" s="29"/>
      <c r="AM26" s="29"/>
      <c r="AN26" s="29"/>
      <c r="AO26" s="29"/>
      <c r="AP26" s="29"/>
    </row>
    <row r="27" spans="1:42" ht="7.5" customHeight="1">
      <c r="A27" s="29"/>
      <c r="B27" s="67"/>
      <c r="C27" s="116"/>
      <c r="D27" s="119">
        <f t="shared" ref="D27:AA27" si="1">IF(D26&lt;0,D26,0)</f>
        <v>0</v>
      </c>
      <c r="E27" s="119">
        <f t="shared" si="1"/>
        <v>0</v>
      </c>
      <c r="F27" s="119">
        <f t="shared" si="1"/>
        <v>0</v>
      </c>
      <c r="G27" s="119">
        <f t="shared" si="1"/>
        <v>0</v>
      </c>
      <c r="H27" s="119">
        <f t="shared" si="1"/>
        <v>0</v>
      </c>
      <c r="I27" s="119">
        <f t="shared" si="1"/>
        <v>0</v>
      </c>
      <c r="J27" s="119">
        <f t="shared" si="1"/>
        <v>0</v>
      </c>
      <c r="K27" s="119">
        <f t="shared" si="1"/>
        <v>0</v>
      </c>
      <c r="L27" s="119">
        <f t="shared" si="1"/>
        <v>0</v>
      </c>
      <c r="M27" s="119">
        <f t="shared" si="1"/>
        <v>0</v>
      </c>
      <c r="N27" s="119">
        <f t="shared" si="1"/>
        <v>0</v>
      </c>
      <c r="O27" s="119">
        <f t="shared" si="1"/>
        <v>0</v>
      </c>
      <c r="P27" s="119">
        <f t="shared" si="1"/>
        <v>0</v>
      </c>
      <c r="Q27" s="119">
        <f t="shared" si="1"/>
        <v>0</v>
      </c>
      <c r="R27" s="119">
        <f t="shared" si="1"/>
        <v>0</v>
      </c>
      <c r="S27" s="119">
        <f t="shared" si="1"/>
        <v>0</v>
      </c>
      <c r="T27" s="119">
        <f t="shared" si="1"/>
        <v>0</v>
      </c>
      <c r="U27" s="119">
        <f t="shared" si="1"/>
        <v>0</v>
      </c>
      <c r="V27" s="119">
        <f t="shared" si="1"/>
        <v>0</v>
      </c>
      <c r="W27" s="119">
        <f t="shared" si="1"/>
        <v>0</v>
      </c>
      <c r="X27" s="119">
        <f t="shared" si="1"/>
        <v>0</v>
      </c>
      <c r="Y27" s="119">
        <f t="shared" si="1"/>
        <v>0</v>
      </c>
      <c r="Z27" s="119">
        <f t="shared" si="1"/>
        <v>0</v>
      </c>
      <c r="AA27" s="119">
        <f t="shared" si="1"/>
        <v>0</v>
      </c>
      <c r="AB27" s="119"/>
      <c r="AC27" s="119"/>
      <c r="AD27" s="119"/>
      <c r="AE27" s="119"/>
      <c r="AF27" s="120"/>
      <c r="AG27" s="29"/>
      <c r="AH27" s="29"/>
      <c r="AI27" s="29"/>
      <c r="AJ27" s="29"/>
      <c r="AK27" s="29"/>
      <c r="AL27" s="29"/>
      <c r="AM27" s="29"/>
      <c r="AN27" s="29"/>
      <c r="AO27" s="29"/>
      <c r="AP27" s="29"/>
    </row>
    <row r="28" spans="1:42" ht="15.75" customHeight="1">
      <c r="A28" s="29"/>
      <c r="B28" s="67"/>
      <c r="C28" s="117" t="s">
        <v>126</v>
      </c>
      <c r="D28" s="118">
        <f>'Starting costs'!F24</f>
        <v>11908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120"/>
      <c r="AG28" s="29"/>
      <c r="AH28" s="29"/>
      <c r="AI28" s="29"/>
      <c r="AJ28" s="29"/>
      <c r="AK28" s="29"/>
      <c r="AL28" s="29"/>
      <c r="AM28" s="29"/>
      <c r="AN28" s="29"/>
      <c r="AO28" s="29"/>
      <c r="AP28" s="29"/>
    </row>
    <row r="29" spans="1:42" ht="15.75" customHeight="1">
      <c r="A29" s="29"/>
      <c r="B29" s="67"/>
      <c r="C29" s="117" t="s">
        <v>127</v>
      </c>
      <c r="D29" s="118">
        <f>D26-D28</f>
        <v>-9971.98</v>
      </c>
      <c r="E29" s="118">
        <f t="shared" ref="E29:AA29" si="2">D29+E26</f>
        <v>-6304.51</v>
      </c>
      <c r="F29" s="118">
        <f t="shared" si="2"/>
        <v>-905.59000000000015</v>
      </c>
      <c r="G29" s="118">
        <f t="shared" si="2"/>
        <v>6124.78</v>
      </c>
      <c r="H29" s="118">
        <f t="shared" si="2"/>
        <v>14986.599999999999</v>
      </c>
      <c r="I29" s="118">
        <f t="shared" si="2"/>
        <v>25429.87</v>
      </c>
      <c r="J29" s="118">
        <f t="shared" si="2"/>
        <v>37754.589999999997</v>
      </c>
      <c r="K29" s="118">
        <f t="shared" si="2"/>
        <v>51710.759999999995</v>
      </c>
      <c r="L29" s="118">
        <f t="shared" si="2"/>
        <v>67498.37999999999</v>
      </c>
      <c r="M29" s="118">
        <f t="shared" si="2"/>
        <v>85017.449999999983</v>
      </c>
      <c r="N29" s="118">
        <f t="shared" si="2"/>
        <v>104267.96999999997</v>
      </c>
      <c r="O29" s="118">
        <f t="shared" si="2"/>
        <v>123268.48999999998</v>
      </c>
      <c r="P29" s="118">
        <f t="shared" si="2"/>
        <v>143411.55545454542</v>
      </c>
      <c r="Q29" s="118">
        <f t="shared" si="2"/>
        <v>164447.16636363632</v>
      </c>
      <c r="R29" s="118">
        <f t="shared" si="2"/>
        <v>186390.52272727268</v>
      </c>
      <c r="S29" s="118">
        <f t="shared" si="2"/>
        <v>209126.4245454545</v>
      </c>
      <c r="T29" s="118">
        <f t="shared" si="2"/>
        <v>232870.07181818178</v>
      </c>
      <c r="U29" s="118">
        <f t="shared" si="2"/>
        <v>257356.2645454545</v>
      </c>
      <c r="V29" s="118">
        <f t="shared" si="2"/>
        <v>282900.2027272727</v>
      </c>
      <c r="W29" s="118">
        <f t="shared" si="2"/>
        <v>309236.68636363634</v>
      </c>
      <c r="X29" s="118">
        <f t="shared" si="2"/>
        <v>336580.91545454541</v>
      </c>
      <c r="Y29" s="118">
        <f t="shared" si="2"/>
        <v>364817.68999999994</v>
      </c>
      <c r="Z29" s="118">
        <f t="shared" si="2"/>
        <v>393962.20999999996</v>
      </c>
      <c r="AA29" s="118">
        <f t="shared" si="2"/>
        <v>422856.73</v>
      </c>
      <c r="AB29" s="42"/>
      <c r="AC29" s="42"/>
      <c r="AD29" s="42"/>
      <c r="AE29" s="42"/>
      <c r="AF29" s="109"/>
      <c r="AG29" s="29" t="s">
        <v>6</v>
      </c>
      <c r="AH29" s="29"/>
      <c r="AI29" s="29"/>
      <c r="AJ29" s="29"/>
      <c r="AK29" s="29"/>
      <c r="AL29" s="29"/>
      <c r="AM29" s="29"/>
      <c r="AN29" s="29"/>
      <c r="AO29" s="29"/>
      <c r="AP29" s="29"/>
    </row>
    <row r="30" spans="1:42" ht="7.5" customHeight="1">
      <c r="A30" s="29"/>
      <c r="B30" s="67"/>
      <c r="C30" s="121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109"/>
      <c r="AG30" s="29"/>
      <c r="AH30" s="29"/>
      <c r="AI30" s="29"/>
      <c r="AJ30" s="29"/>
      <c r="AK30" s="29"/>
      <c r="AL30" s="29"/>
      <c r="AM30" s="29"/>
      <c r="AN30" s="29"/>
      <c r="AO30" s="29"/>
      <c r="AP30" s="29"/>
    </row>
    <row r="31" spans="1:42" ht="19.5" customHeight="1">
      <c r="A31" s="29"/>
      <c r="B31" s="67"/>
      <c r="C31" s="122" t="s">
        <v>128</v>
      </c>
      <c r="D31" s="118">
        <f>IF(D26&lt;0,"",D3)</f>
        <v>1</v>
      </c>
      <c r="E31" s="118" t="str">
        <f>IF(E26&lt;0,"",IF(D26&gt;0,"",E3))</f>
        <v/>
      </c>
      <c r="F31" s="118" t="str">
        <f>IF(F26&lt;0,"",IF(E26&gt;0,"",F3))</f>
        <v/>
      </c>
      <c r="G31" s="118" t="str">
        <f>IF(G26&lt;0,"",IF(F26&gt;0,"",G3))</f>
        <v/>
      </c>
      <c r="H31" s="118" t="str">
        <f>IF(H26&lt;0,"",IF(G26&gt;0,"",H3))</f>
        <v/>
      </c>
      <c r="I31" s="118" t="str">
        <f>IF(I26&lt;0,"",IF(H26&gt;0,"",I3))</f>
        <v/>
      </c>
      <c r="J31" s="118" t="str">
        <f>IF(J26&lt;0,"",IF(I26&gt;0,"",J3))</f>
        <v/>
      </c>
      <c r="K31" s="118" t="str">
        <f>IF(K26&lt;0,"",IF(J26&gt;0,"",K3))</f>
        <v/>
      </c>
      <c r="L31" s="118" t="str">
        <f>IF(L26&lt;0,"",IF(K26&gt;0,"",L3))</f>
        <v/>
      </c>
      <c r="M31" s="118" t="str">
        <f>IF(M26&lt;0,"",IF(L26&gt;0,"",M3))</f>
        <v/>
      </c>
      <c r="N31" s="118" t="str">
        <f>IF(N26&lt;0,"",IF(M26&gt;0,"",N3))</f>
        <v/>
      </c>
      <c r="O31" s="118" t="str">
        <f>IF(O26&lt;0,"",IF(N26&gt;0,"",O3))</f>
        <v/>
      </c>
      <c r="P31" s="118" t="str">
        <f>IF(P26&lt;0,"",IF(O26&gt;0,"",P3))</f>
        <v/>
      </c>
      <c r="Q31" s="118" t="str">
        <f>IF(Q26&lt;0,"",IF(P26&gt;0,"",Q3))</f>
        <v/>
      </c>
      <c r="R31" s="118" t="str">
        <f>IF(R26&lt;0,"",IF(Q26&gt;0,"",R3))</f>
        <v/>
      </c>
      <c r="S31" s="118" t="str">
        <f>IF(S26&lt;0,"",IF(R26&gt;0,"",S3))</f>
        <v/>
      </c>
      <c r="T31" s="118" t="str">
        <f>IF(T26&lt;0,"",IF(S26&gt;0,"",T3))</f>
        <v/>
      </c>
      <c r="U31" s="118" t="str">
        <f>IF(U26&lt;0,"",IF(T26&gt;0,"",U3))</f>
        <v/>
      </c>
      <c r="V31" s="118" t="str">
        <f>IF(V26&lt;0,"",IF(U26&gt;0,"",V3))</f>
        <v/>
      </c>
      <c r="W31" s="118" t="str">
        <f>IF(W26&lt;0,"",IF(V26&gt;0,"",W3))</f>
        <v/>
      </c>
      <c r="X31" s="118" t="str">
        <f>IF(X26&lt;0,"",IF(W26&gt;0,"",X3))</f>
        <v/>
      </c>
      <c r="Y31" s="118" t="str">
        <f>IF(Y26&lt;0,"",IF(X26&gt;0,"",Y3))</f>
        <v/>
      </c>
      <c r="Z31" s="118" t="str">
        <f>IF(Z26&lt;0,"",IF(Y26&gt;0,"",Z3))</f>
        <v/>
      </c>
      <c r="AA31" s="118" t="str">
        <f>IF(AA26&lt;0,"",IF(Z26&gt;0,"",AA3))</f>
        <v/>
      </c>
      <c r="AB31" s="42"/>
      <c r="AC31" s="42"/>
      <c r="AD31" s="42"/>
      <c r="AE31" s="42"/>
      <c r="AF31" s="109"/>
      <c r="AG31" s="29"/>
      <c r="AH31" s="29"/>
      <c r="AI31" s="29"/>
      <c r="AJ31" s="29"/>
      <c r="AK31" s="29"/>
      <c r="AL31" s="29"/>
      <c r="AM31" s="29"/>
      <c r="AN31" s="29"/>
      <c r="AO31" s="29"/>
      <c r="AP31" s="29"/>
    </row>
    <row r="32" spans="1:42" ht="18" customHeight="1">
      <c r="A32" s="29"/>
      <c r="B32" s="67"/>
      <c r="C32" s="123" t="s">
        <v>129</v>
      </c>
      <c r="D32" s="42" t="str">
        <f>IF(D29&lt;0,"",D3)</f>
        <v/>
      </c>
      <c r="E32" s="42" t="str">
        <f>IF(E29&lt;0,"",IF(D29&gt;0,"",E3))</f>
        <v/>
      </c>
      <c r="F32" s="42" t="str">
        <f>IF(F29&lt;0,"",IF(E29&gt;0,"",F3))</f>
        <v/>
      </c>
      <c r="G32" s="42">
        <f>IF(G29&lt;0,"",IF(F29&gt;0,"",G3))</f>
        <v>4</v>
      </c>
      <c r="H32" s="42" t="str">
        <f>IF(H29&lt;0,"",IF(G29&gt;0,"",H3))</f>
        <v/>
      </c>
      <c r="I32" s="42" t="str">
        <f>IF(I29&lt;0,"",IF(H29&gt;0,"",I3))</f>
        <v/>
      </c>
      <c r="J32" s="42" t="str">
        <f>IF(J29&lt;0,"",IF(I29&gt;0,"",J3))</f>
        <v/>
      </c>
      <c r="K32" s="42" t="str">
        <f>IF(K29&lt;0,"",IF(J29&gt;0,"",K3))</f>
        <v/>
      </c>
      <c r="L32" s="42" t="str">
        <f>IF(L29&lt;0,"",IF(K29&gt;0,"",L3))</f>
        <v/>
      </c>
      <c r="M32" s="42" t="str">
        <f>IF(M29&lt;0,"",IF(L29&gt;0,"",M3))</f>
        <v/>
      </c>
      <c r="N32" s="42" t="str">
        <f>IF(N29&lt;0,"",IF(M29&gt;0,"",N3))</f>
        <v/>
      </c>
      <c r="O32" s="42" t="str">
        <f>IF(O29&lt;0,"",IF(N29&gt;0,"",O3))</f>
        <v/>
      </c>
      <c r="P32" s="42" t="str">
        <f>IF(P29&lt;0,"",IF(O29&gt;0,"",P3))</f>
        <v/>
      </c>
      <c r="Q32" s="42" t="str">
        <f>IF(Q29&lt;0,"",IF(P29&gt;0,"",Q3))</f>
        <v/>
      </c>
      <c r="R32" s="42" t="str">
        <f>IF(R29&lt;0,"",IF(Q29&gt;0,"",R3))</f>
        <v/>
      </c>
      <c r="S32" s="42" t="str">
        <f>IF(S29&lt;0,"",IF(R29&gt;0,"",S3))</f>
        <v/>
      </c>
      <c r="T32" s="42" t="str">
        <f>IF(T29&lt;0,"",IF(S29&gt;0,"",T3))</f>
        <v/>
      </c>
      <c r="U32" s="42" t="str">
        <f>IF(U29&lt;0,"",IF(T29&gt;0,"",U3))</f>
        <v/>
      </c>
      <c r="V32" s="42" t="str">
        <f>IF(V29&lt;0,"",IF(U29&gt;0,"",V3))</f>
        <v/>
      </c>
      <c r="W32" s="42" t="str">
        <f>IF(W29&lt;0,"",IF(V29&gt;0,"",W3))</f>
        <v/>
      </c>
      <c r="X32" s="42" t="str">
        <f>IF(X29&lt;0,"",IF(W29&gt;0,"",X3))</f>
        <v/>
      </c>
      <c r="Y32" s="42" t="str">
        <f>IF(Y29&lt;0,"",IF(X29&gt;0,"",Y3))</f>
        <v/>
      </c>
      <c r="Z32" s="42" t="str">
        <f>IF(Z29&lt;0,"",IF(Y29&gt;0,"",Z3))</f>
        <v/>
      </c>
      <c r="AA32" s="42" t="str">
        <f>IF(AA29&lt;0,"",IF(Z29&gt;0,"",AA3))</f>
        <v/>
      </c>
      <c r="AB32" s="42"/>
      <c r="AC32" s="42"/>
      <c r="AD32" s="42"/>
      <c r="AE32" s="42"/>
      <c r="AF32" s="109"/>
      <c r="AG32" s="29"/>
      <c r="AH32" s="29"/>
      <c r="AI32" s="29"/>
      <c r="AJ32" s="29"/>
      <c r="AK32" s="29"/>
      <c r="AL32" s="29"/>
      <c r="AM32" s="29"/>
      <c r="AN32" s="29"/>
      <c r="AO32" s="29"/>
      <c r="AP32" s="29"/>
    </row>
    <row r="33" spans="1:42" ht="7.5" customHeight="1" thickBot="1">
      <c r="A33" s="29"/>
      <c r="B33" s="67"/>
      <c r="C33" s="124"/>
      <c r="D33" s="124"/>
      <c r="E33" s="124"/>
      <c r="F33" s="124"/>
      <c r="G33" s="124"/>
      <c r="H33" s="124"/>
      <c r="I33" s="124"/>
      <c r="J33" s="125"/>
      <c r="K33" s="125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71"/>
      <c r="AG33" s="29"/>
      <c r="AH33" s="29"/>
      <c r="AI33" s="29"/>
      <c r="AJ33" s="29"/>
      <c r="AK33" s="29"/>
      <c r="AL33" s="29"/>
      <c r="AM33" s="29"/>
      <c r="AN33" s="29"/>
      <c r="AO33" s="29"/>
      <c r="AP33" s="29"/>
    </row>
    <row r="34" spans="1:42" ht="15.75" customHeight="1">
      <c r="A34" s="29"/>
      <c r="B34" s="67"/>
      <c r="C34" s="229" t="s">
        <v>130</v>
      </c>
      <c r="D34" s="230"/>
      <c r="E34" s="231"/>
      <c r="F34" s="126"/>
      <c r="G34" s="253" t="s">
        <v>134</v>
      </c>
      <c r="H34" s="254"/>
      <c r="I34" s="254"/>
      <c r="J34" s="255"/>
      <c r="K34" s="128"/>
      <c r="L34" s="127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30"/>
      <c r="AG34" s="29"/>
      <c r="AH34" s="29"/>
      <c r="AI34" s="29"/>
      <c r="AJ34" s="29"/>
      <c r="AK34" s="29"/>
      <c r="AL34" s="29"/>
      <c r="AM34" s="29"/>
      <c r="AN34" s="29"/>
      <c r="AO34" s="29"/>
      <c r="AP34" s="29"/>
    </row>
    <row r="35" spans="1:42" ht="15.75" customHeight="1">
      <c r="A35" s="29"/>
      <c r="B35" s="67"/>
      <c r="C35" s="234" t="s">
        <v>131</v>
      </c>
      <c r="D35" s="236">
        <f>AVERAGE(D26:AA26)</f>
        <v>18115.197083333333</v>
      </c>
      <c r="E35" s="237"/>
      <c r="F35" s="128"/>
      <c r="G35" s="258" t="s">
        <v>135</v>
      </c>
      <c r="H35" s="259"/>
      <c r="I35" s="260"/>
      <c r="J35" s="256">
        <f>(SUM(D4:AA4)+AC4+AD4+AE4)/60</f>
        <v>39688.333333333336</v>
      </c>
      <c r="K35" s="128"/>
      <c r="L35" s="127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74"/>
      <c r="AG35" s="29"/>
      <c r="AH35" s="29"/>
      <c r="AI35" s="29"/>
      <c r="AJ35" s="29"/>
      <c r="AK35" s="29"/>
      <c r="AL35" s="29"/>
      <c r="AM35" s="29"/>
      <c r="AN35" s="29"/>
      <c r="AO35" s="29"/>
      <c r="AP35" s="29"/>
    </row>
    <row r="36" spans="1:42" ht="15.75" customHeight="1">
      <c r="A36" s="29"/>
      <c r="B36" s="67"/>
      <c r="C36" s="235"/>
      <c r="D36" s="238"/>
      <c r="E36" s="239"/>
      <c r="F36" s="128"/>
      <c r="G36" s="258" t="s">
        <v>136</v>
      </c>
      <c r="H36" s="261"/>
      <c r="I36" s="262"/>
      <c r="J36" s="256">
        <f>(SUM(D26:AA26)+AC26+AD26+AE26)/60</f>
        <v>26538.590833333332</v>
      </c>
      <c r="K36" s="128"/>
      <c r="L36" s="127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74"/>
      <c r="AG36" s="29"/>
      <c r="AH36" s="29"/>
      <c r="AI36" s="29"/>
      <c r="AJ36" s="29"/>
      <c r="AK36" s="29"/>
      <c r="AL36" s="29"/>
      <c r="AM36" s="29"/>
      <c r="AN36" s="29"/>
      <c r="AO36" s="29"/>
      <c r="AP36" s="29"/>
    </row>
    <row r="37" spans="1:42" ht="15.75" customHeight="1" thickBot="1">
      <c r="A37" s="29"/>
      <c r="B37" s="67"/>
      <c r="C37" s="234" t="s">
        <v>132</v>
      </c>
      <c r="D37" s="236">
        <f>SUM(D31:O31)</f>
        <v>1</v>
      </c>
      <c r="E37" s="237"/>
      <c r="F37" s="128"/>
      <c r="G37" s="265" t="s">
        <v>137</v>
      </c>
      <c r="H37" s="263"/>
      <c r="I37" s="264"/>
      <c r="J37" s="257">
        <f>J36/J35</f>
        <v>0.66867486247007923</v>
      </c>
      <c r="K37" s="128"/>
      <c r="L37" s="127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74"/>
      <c r="AG37" s="29"/>
      <c r="AH37" s="29"/>
      <c r="AI37" s="29"/>
      <c r="AJ37" s="29"/>
      <c r="AK37" s="29"/>
      <c r="AL37" s="29"/>
      <c r="AM37" s="29"/>
      <c r="AN37" s="29"/>
      <c r="AO37" s="29"/>
      <c r="AP37" s="29"/>
    </row>
    <row r="38" spans="1:42" ht="15.75" customHeight="1">
      <c r="A38" s="29"/>
      <c r="B38" s="67"/>
      <c r="C38" s="235"/>
      <c r="D38" s="238"/>
      <c r="E38" s="239"/>
      <c r="F38" s="128"/>
      <c r="G38" s="240"/>
      <c r="H38" s="222"/>
      <c r="I38" s="241"/>
      <c r="J38" s="219"/>
      <c r="K38" s="128"/>
      <c r="L38" s="127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74"/>
      <c r="AG38" s="29"/>
      <c r="AH38" s="29"/>
      <c r="AI38" s="29"/>
      <c r="AJ38" s="29"/>
      <c r="AK38" s="29"/>
      <c r="AL38" s="29"/>
      <c r="AM38" s="29"/>
      <c r="AN38" s="29"/>
      <c r="AO38" s="29"/>
      <c r="AP38" s="29"/>
    </row>
    <row r="39" spans="1:42" ht="15.75" customHeight="1">
      <c r="A39" s="29"/>
      <c r="B39" s="67"/>
      <c r="C39" s="234" t="s">
        <v>133</v>
      </c>
      <c r="D39" s="236">
        <f>SUM(D32:AA32)</f>
        <v>4</v>
      </c>
      <c r="E39" s="237"/>
      <c r="F39" s="128"/>
      <c r="G39" s="223"/>
      <c r="H39" s="225"/>
      <c r="I39" s="241"/>
      <c r="J39" s="219"/>
      <c r="K39" s="128"/>
      <c r="L39" s="127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74"/>
      <c r="AG39" s="29"/>
      <c r="AH39" s="29"/>
      <c r="AI39" s="29"/>
      <c r="AJ39" s="29"/>
      <c r="AK39" s="29"/>
      <c r="AL39" s="29"/>
      <c r="AM39" s="29"/>
      <c r="AN39" s="29"/>
      <c r="AO39" s="29"/>
      <c r="AP39" s="29"/>
    </row>
    <row r="40" spans="1:42" ht="15.75" customHeight="1">
      <c r="A40" s="29"/>
      <c r="B40" s="67"/>
      <c r="C40" s="242"/>
      <c r="D40" s="243"/>
      <c r="E40" s="244"/>
      <c r="F40" s="128"/>
      <c r="G40" s="133"/>
      <c r="H40" s="133"/>
      <c r="I40" s="133"/>
      <c r="J40" s="134"/>
      <c r="K40" s="128"/>
      <c r="L40" s="135"/>
      <c r="M40" s="135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74"/>
      <c r="AG40" s="29"/>
      <c r="AH40" s="29"/>
      <c r="AI40" s="29"/>
      <c r="AJ40" s="29"/>
      <c r="AK40" s="29"/>
      <c r="AL40" s="29"/>
      <c r="AM40" s="29"/>
      <c r="AN40" s="29"/>
      <c r="AO40" s="29"/>
      <c r="AP40" s="29"/>
    </row>
    <row r="41" spans="1:42" ht="15.75" customHeight="1">
      <c r="A41" s="29"/>
      <c r="B41" s="98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100"/>
      <c r="AG41" s="29"/>
      <c r="AH41" s="29"/>
      <c r="AI41" s="29"/>
      <c r="AJ41" s="29"/>
      <c r="AK41" s="29"/>
      <c r="AL41" s="29"/>
      <c r="AM41" s="29"/>
      <c r="AN41" s="29"/>
      <c r="AO41" s="29"/>
      <c r="AP41" s="29"/>
    </row>
    <row r="42" spans="1:42" ht="15.7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</row>
    <row r="43" spans="1:42" ht="15.75" hidden="1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</row>
    <row r="44" spans="1:42" ht="15.75" hidden="1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</row>
    <row r="45" spans="1:42" ht="15.75" hidden="1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</row>
    <row r="46" spans="1:42" ht="15.75" hidden="1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</row>
    <row r="47" spans="1:42" ht="15.75" hidden="1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</row>
    <row r="48" spans="1:42" ht="15.75" hidden="1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</row>
    <row r="49" spans="1:42" ht="15.75" hidden="1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</row>
    <row r="50" spans="1:42" ht="15.75" hidden="1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</row>
    <row r="51" spans="1:42" ht="15.75" hidden="1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</row>
    <row r="52" spans="1:42" ht="15.75" hidden="1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</row>
    <row r="53" spans="1:42" ht="15.75" hidden="1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</row>
    <row r="54" spans="1:42" ht="15.75" hidden="1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</row>
    <row r="55" spans="1:42" ht="15.75" hidden="1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</row>
    <row r="56" spans="1:42" ht="15.75" hidden="1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</row>
    <row r="57" spans="1:42" ht="15.75" hidden="1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</row>
    <row r="58" spans="1:42" ht="15.75" hidden="1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</row>
    <row r="59" spans="1:42" ht="15.75" hidden="1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</row>
    <row r="60" spans="1:42" ht="15.75" hidden="1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</row>
    <row r="61" spans="1:42" ht="15.75" hidden="1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</row>
    <row r="62" spans="1:42" ht="15.75" hidden="1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</row>
    <row r="63" spans="1:42" ht="15.75" hidden="1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</row>
    <row r="64" spans="1:42" ht="15.75" hidden="1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</row>
    <row r="65" spans="1:42" ht="15.75" hidden="1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</row>
    <row r="66" spans="1:42" ht="15.75" hidden="1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</row>
    <row r="67" spans="1:42" ht="15.75" hidden="1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</row>
    <row r="68" spans="1:42" ht="15.75" hidden="1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</row>
    <row r="69" spans="1:42" ht="15.75" hidden="1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</row>
    <row r="70" spans="1:42" ht="15.75" hidden="1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</row>
    <row r="71" spans="1:42" ht="15.75" hidden="1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</row>
    <row r="72" spans="1:42" ht="15.75" hidden="1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</row>
    <row r="73" spans="1:42" ht="15.75" hidden="1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</row>
    <row r="74" spans="1:42" ht="15.75" hidden="1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</row>
    <row r="75" spans="1:42" ht="15.75" hidden="1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</row>
    <row r="76" spans="1:42" ht="15.75" hidden="1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</row>
    <row r="77" spans="1:42" ht="15.75" hidden="1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</row>
    <row r="78" spans="1:42" ht="15.75" hidden="1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</row>
    <row r="79" spans="1:42" ht="15.75" hidden="1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</row>
    <row r="80" spans="1:42" ht="15.75" hidden="1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</row>
    <row r="81" spans="1:42" ht="15.75" hidden="1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</row>
    <row r="82" spans="1:42" ht="15.75" hidden="1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</row>
    <row r="83" spans="1:42" ht="15.75" hidden="1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</row>
    <row r="84" spans="1:42" ht="15.75" hidden="1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</row>
    <row r="85" spans="1:42" ht="15.75" hidden="1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</row>
    <row r="86" spans="1:42" ht="15.75" hidden="1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</row>
    <row r="87" spans="1:42" ht="15.75" hidden="1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</row>
    <row r="88" spans="1:42" ht="15.75" hidden="1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</row>
    <row r="89" spans="1:42" ht="15.75" hidden="1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</row>
    <row r="90" spans="1:42" ht="15.75" hidden="1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</row>
    <row r="91" spans="1:42" ht="15.75" hidden="1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</row>
    <row r="92" spans="1:42" ht="15.75" hidden="1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</row>
    <row r="93" spans="1:42" ht="15.75" hidden="1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</row>
    <row r="94" spans="1:42" ht="15.75" hidden="1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</row>
    <row r="95" spans="1:42" ht="15.75" hidden="1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</row>
    <row r="96" spans="1:42" ht="15.75" hidden="1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</row>
    <row r="97" spans="1:42" ht="15.75" hidden="1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</row>
    <row r="98" spans="1:42" ht="15.75" hidden="1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</row>
    <row r="99" spans="1:42" ht="15.75" hidden="1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</row>
    <row r="100" spans="1:42" ht="15.75" hidden="1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</row>
    <row r="101" spans="1:42" ht="15.75" hidden="1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</row>
    <row r="102" spans="1:42" ht="15.75" hidden="1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</row>
    <row r="103" spans="1:42" ht="15.75" hidden="1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</row>
    <row r="104" spans="1:42" ht="15.75" hidden="1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</row>
    <row r="105" spans="1:42" ht="15.75" hidden="1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</row>
    <row r="106" spans="1:42" ht="15.75" hidden="1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</row>
    <row r="107" spans="1:42" ht="15.75" hidden="1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</row>
    <row r="108" spans="1:42" ht="15.75" hidden="1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</row>
    <row r="109" spans="1:42" ht="15.75" hidden="1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</row>
    <row r="110" spans="1:42" ht="15.75" hidden="1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</row>
    <row r="111" spans="1:42" ht="15.75" hidden="1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</row>
    <row r="112" spans="1:42" ht="15.75" hidden="1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</row>
    <row r="113" spans="1:42" ht="15.75" hidden="1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</row>
    <row r="114" spans="1:42" ht="15.75" hidden="1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</row>
    <row r="115" spans="1:42" ht="15.75" hidden="1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</row>
    <row r="116" spans="1:42" ht="15.75" hidden="1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</row>
    <row r="117" spans="1:42" ht="15.75" hidden="1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</row>
    <row r="118" spans="1:42" ht="15.75" hidden="1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</row>
    <row r="119" spans="1:42" ht="15.75" hidden="1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</row>
    <row r="120" spans="1:42" ht="15.75" hidden="1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</row>
    <row r="121" spans="1:42" ht="15.75" hidden="1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</row>
    <row r="122" spans="1:42" ht="15.75" hidden="1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</row>
    <row r="123" spans="1:42" ht="15.75" hidden="1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</row>
    <row r="124" spans="1:42" ht="15.75" hidden="1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</row>
    <row r="125" spans="1:42" ht="15.75" hidden="1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</row>
    <row r="126" spans="1:42" ht="15.75" hidden="1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</row>
    <row r="127" spans="1:42" ht="15.75" hidden="1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</row>
    <row r="128" spans="1:42" ht="15.75" hidden="1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</row>
    <row r="129" spans="1:42" ht="15.75" hidden="1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</row>
    <row r="130" spans="1:42" ht="15.75" hidden="1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</row>
    <row r="131" spans="1:42" ht="15.75" hidden="1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</row>
    <row r="132" spans="1:42" ht="15.75" hidden="1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</row>
    <row r="133" spans="1:42" ht="15.75" hidden="1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</row>
    <row r="134" spans="1:42" ht="15.75" hidden="1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</row>
    <row r="135" spans="1:42" ht="15.75" hidden="1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</row>
    <row r="136" spans="1:42" ht="15.75" hidden="1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</row>
    <row r="137" spans="1:42" ht="15.75" hidden="1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</row>
    <row r="138" spans="1:42" ht="15.75" hidden="1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</row>
    <row r="139" spans="1:42" ht="15.75" hidden="1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</row>
    <row r="140" spans="1:42" ht="15.75" hidden="1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</row>
    <row r="141" spans="1:42" ht="15.75" hidden="1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</row>
    <row r="142" spans="1:42" ht="15.75" hidden="1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</row>
    <row r="143" spans="1:42" ht="15.75" hidden="1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</row>
    <row r="144" spans="1:42" ht="15.75" hidden="1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</row>
    <row r="145" spans="1:42" ht="15.75" hidden="1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</row>
    <row r="146" spans="1:42" ht="15.75" hidden="1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</row>
    <row r="147" spans="1:42" ht="15.75" hidden="1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</row>
    <row r="148" spans="1:42" ht="15.75" hidden="1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</row>
    <row r="149" spans="1:42" ht="15.75" hidden="1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</row>
    <row r="150" spans="1:42" ht="15.75" hidden="1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</row>
    <row r="151" spans="1:42" ht="15.75" hidden="1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</row>
    <row r="152" spans="1:42" ht="15.75" hidden="1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</row>
    <row r="153" spans="1:42" ht="15.75" hidden="1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</row>
    <row r="154" spans="1:42" ht="15.75" hidden="1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</row>
    <row r="155" spans="1:42" ht="15.75" hidden="1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</row>
    <row r="156" spans="1:42" ht="15.75" hidden="1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</row>
    <row r="157" spans="1:42" ht="15.75" hidden="1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</row>
    <row r="158" spans="1:42" ht="15.75" hidden="1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</row>
    <row r="159" spans="1:42" ht="15.75" hidden="1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</row>
    <row r="160" spans="1:42" ht="15.75" hidden="1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</row>
    <row r="161" spans="1:42" ht="15.75" hidden="1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</row>
    <row r="162" spans="1:42" ht="15.75" hidden="1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</row>
    <row r="163" spans="1:42" ht="15.75" hidden="1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</row>
    <row r="164" spans="1:42" ht="15.75" hidden="1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</row>
    <row r="165" spans="1:42" ht="15.75" hidden="1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</row>
    <row r="166" spans="1:42" ht="15.75" hidden="1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</row>
    <row r="167" spans="1:42" ht="15.75" hidden="1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</row>
    <row r="168" spans="1:42" ht="15.75" hidden="1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</row>
    <row r="169" spans="1:42" ht="15.75" hidden="1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</row>
    <row r="170" spans="1:42" ht="15.75" hidden="1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</row>
    <row r="171" spans="1:42" ht="15.75" hidden="1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</row>
    <row r="172" spans="1:42" ht="15.75" hidden="1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</row>
    <row r="173" spans="1:42" ht="15.75" hidden="1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</row>
    <row r="174" spans="1:42" ht="15.75" hidden="1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</row>
    <row r="175" spans="1:42" ht="15.75" hidden="1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</row>
    <row r="176" spans="1:42" ht="15.75" hidden="1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</row>
    <row r="177" spans="1:42" ht="15.75" hidden="1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</row>
    <row r="178" spans="1:42" ht="15.75" hidden="1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</row>
    <row r="179" spans="1:42" ht="15.75" hidden="1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</row>
    <row r="180" spans="1:42" ht="15.75" hidden="1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</row>
    <row r="181" spans="1:42" ht="15.75" hidden="1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</row>
    <row r="182" spans="1:42" ht="15.75" hidden="1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</row>
    <row r="183" spans="1:42" ht="15.75" hidden="1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</row>
    <row r="184" spans="1:42" ht="15.75" hidden="1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</row>
    <row r="185" spans="1:42" ht="15.75" hidden="1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</row>
    <row r="186" spans="1:42" ht="15.75" hidden="1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</row>
    <row r="187" spans="1:42" ht="15.75" hidden="1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</row>
    <row r="188" spans="1:42" ht="15.75" hidden="1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</row>
    <row r="189" spans="1:42" ht="15.75" hidden="1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</row>
    <row r="190" spans="1:42" ht="15.75" hidden="1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</row>
    <row r="191" spans="1:42" ht="15.75" hidden="1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</row>
    <row r="192" spans="1:42" ht="15.75" hidden="1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</row>
    <row r="193" spans="1:42" ht="15.75" hidden="1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</row>
    <row r="194" spans="1:42" ht="15.75" hidden="1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</row>
    <row r="195" spans="1:42" ht="15.75" hidden="1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</row>
    <row r="196" spans="1:42" ht="15.75" hidden="1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</row>
    <row r="197" spans="1:42" ht="15.75" hidden="1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</row>
    <row r="198" spans="1:42" ht="15.75" hidden="1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</row>
    <row r="199" spans="1:42" ht="15.75" hidden="1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</row>
    <row r="200" spans="1:42" ht="15.75" hidden="1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</row>
    <row r="201" spans="1:42" ht="15.75" hidden="1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</row>
    <row r="202" spans="1:42" ht="15.75" hidden="1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</row>
    <row r="203" spans="1:42" ht="15.75" hidden="1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</row>
    <row r="204" spans="1:42" ht="15.75" hidden="1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</row>
    <row r="205" spans="1:42" ht="15.75" hidden="1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</row>
    <row r="206" spans="1:42" ht="15.75" hidden="1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</row>
    <row r="207" spans="1:42" ht="15.75" hidden="1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</row>
    <row r="208" spans="1:42" ht="15.75" hidden="1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</row>
    <row r="209" spans="1:42" ht="15.75" hidden="1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</row>
    <row r="210" spans="1:42" ht="15.75" hidden="1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</row>
    <row r="211" spans="1:42" ht="15.75" hidden="1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</row>
    <row r="212" spans="1:42" ht="15.75" hidden="1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</row>
    <row r="213" spans="1:42" ht="15.75" hidden="1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</row>
    <row r="214" spans="1:42" ht="15.75" hidden="1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</row>
    <row r="215" spans="1:42" ht="15.75" hidden="1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</row>
    <row r="216" spans="1:42" ht="15.75" hidden="1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</row>
    <row r="217" spans="1:42" ht="15.75" hidden="1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</row>
    <row r="218" spans="1:42" ht="15.75" hidden="1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</row>
    <row r="219" spans="1:42" ht="15.75" hidden="1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</row>
    <row r="220" spans="1:42" ht="15.75" hidden="1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</row>
    <row r="221" spans="1:42" ht="15.75" hidden="1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</row>
    <row r="222" spans="1:42" ht="15.75" hidden="1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</row>
    <row r="223" spans="1:42" ht="15.75" hidden="1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</row>
    <row r="224" spans="1:42" ht="15.75" hidden="1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</row>
    <row r="225" spans="1:42" ht="15.75" hidden="1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</row>
    <row r="226" spans="1:42" ht="15.75" hidden="1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</row>
    <row r="227" spans="1:42" ht="15.75" hidden="1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</row>
    <row r="228" spans="1:42" ht="15.75" hidden="1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</row>
    <row r="229" spans="1:42" ht="15.75" hidden="1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</row>
    <row r="230" spans="1:42" ht="15.75" hidden="1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</row>
    <row r="231" spans="1:42" ht="15.75" hidden="1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</row>
    <row r="232" spans="1:42" ht="15.75" hidden="1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</row>
    <row r="233" spans="1:42" ht="15.75" hidden="1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</row>
    <row r="234" spans="1:42" ht="15.75" hidden="1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</row>
    <row r="235" spans="1:42" ht="15.75" hidden="1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</row>
    <row r="236" spans="1:42" ht="15.75" hidden="1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</row>
    <row r="237" spans="1:42" ht="15.75" hidden="1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</row>
    <row r="238" spans="1:42" ht="15.75" hidden="1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</row>
    <row r="239" spans="1:42" ht="15.75" hidden="1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</row>
    <row r="240" spans="1:4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5">
    <mergeCell ref="G38:H39"/>
    <mergeCell ref="I38:J38"/>
    <mergeCell ref="C39:C40"/>
    <mergeCell ref="D39:E40"/>
    <mergeCell ref="I39:J39"/>
    <mergeCell ref="C37:C38"/>
    <mergeCell ref="D37:E38"/>
    <mergeCell ref="G37:I37"/>
    <mergeCell ref="B2:O2"/>
    <mergeCell ref="C34:E34"/>
    <mergeCell ref="C35:C36"/>
    <mergeCell ref="D35:E36"/>
    <mergeCell ref="G34:J34"/>
    <mergeCell ref="G35:I35"/>
    <mergeCell ref="G36:I36"/>
  </mergeCells>
  <conditionalFormatting sqref="C23">
    <cfRule type="expression" dxfId="2" priority="1">
      <formula>$D$23=0</formula>
    </cfRule>
  </conditionalFormatting>
  <conditionalFormatting sqref="D23:AE23">
    <cfRule type="cellIs" dxfId="1" priority="2" operator="equal">
      <formula>0</formula>
    </cfRule>
  </conditionalFormatting>
  <conditionalFormatting sqref="C18:AE18">
    <cfRule type="expression" dxfId="0" priority="3">
      <formula>$D$18=0</formula>
    </cfRule>
  </conditionalFormatting>
  <pageMargins left="0.70866141732283505" right="0.70866141732283505" top="0.74803149606299202" bottom="0.74803149606299202" header="0" footer="0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12BDAB"/>
    <outlinePr summaryBelow="0" summaryRight="0"/>
  </sheetPr>
  <dimension ref="B1:N1001"/>
  <sheetViews>
    <sheetView showGridLines="0" workbookViewId="0">
      <selection activeCell="C3" sqref="C3:L4"/>
    </sheetView>
  </sheetViews>
  <sheetFormatPr defaultColWidth="14.44140625" defaultRowHeight="15" customHeight="1"/>
  <cols>
    <col min="1" max="2" width="2.44140625" customWidth="1"/>
    <col min="3" max="3" width="46.6640625" customWidth="1"/>
    <col min="4" max="4" width="11.6640625" customWidth="1"/>
    <col min="5" max="5" width="67.44140625" customWidth="1"/>
    <col min="6" max="6" width="14.44140625" customWidth="1"/>
    <col min="7" max="7" width="17.21875" customWidth="1"/>
    <col min="8" max="8" width="15.88671875" customWidth="1"/>
    <col min="9" max="9" width="18.33203125" customWidth="1"/>
    <col min="10" max="10" width="14.44140625" customWidth="1"/>
    <col min="13" max="14" width="3" customWidth="1"/>
  </cols>
  <sheetData>
    <row r="1" spans="2:14" ht="8.25" customHeight="1"/>
    <row r="2" spans="2:14" ht="15.75" customHeight="1">
      <c r="B2" s="4"/>
      <c r="C2" s="5" t="s">
        <v>14</v>
      </c>
      <c r="D2" s="5"/>
      <c r="E2" s="5"/>
      <c r="F2" s="5"/>
      <c r="G2" s="5"/>
      <c r="H2" s="5"/>
      <c r="I2" s="5"/>
      <c r="J2" s="5"/>
      <c r="K2" s="5"/>
      <c r="L2" s="5"/>
      <c r="M2" s="6"/>
    </row>
    <row r="3" spans="2:14" ht="15.75" customHeight="1">
      <c r="B3" s="7"/>
      <c r="C3" s="245" t="s">
        <v>144</v>
      </c>
      <c r="D3" s="212"/>
      <c r="E3" s="212"/>
      <c r="F3" s="212"/>
      <c r="G3" s="212"/>
      <c r="H3" s="212"/>
      <c r="I3" s="212"/>
      <c r="J3" s="212"/>
      <c r="K3" s="212"/>
      <c r="L3" s="212"/>
      <c r="M3" s="9"/>
    </row>
    <row r="4" spans="2:14" ht="15.75" customHeight="1">
      <c r="B4" s="7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9"/>
    </row>
    <row r="5" spans="2:14" ht="7.5" customHeight="1">
      <c r="B5" s="7"/>
      <c r="M5" s="9"/>
    </row>
    <row r="6" spans="2:14" ht="15.75" customHeight="1">
      <c r="B6" s="7"/>
      <c r="C6" s="248" t="s">
        <v>16</v>
      </c>
      <c r="D6" s="211"/>
      <c r="E6" s="136"/>
      <c r="G6" s="246" t="s">
        <v>30</v>
      </c>
      <c r="H6" s="246" t="s">
        <v>31</v>
      </c>
      <c r="I6" s="271" t="s">
        <v>146</v>
      </c>
      <c r="J6" s="246" t="s">
        <v>32</v>
      </c>
      <c r="M6" s="9"/>
    </row>
    <row r="7" spans="2:14" ht="15.75" customHeight="1">
      <c r="B7" s="7"/>
      <c r="C7" s="137" t="s">
        <v>15</v>
      </c>
      <c r="D7" s="138">
        <v>1</v>
      </c>
      <c r="E7" s="136"/>
      <c r="G7" s="247"/>
      <c r="H7" s="247"/>
      <c r="I7" s="247"/>
      <c r="J7" s="247"/>
      <c r="M7" s="139"/>
      <c r="N7" s="17"/>
    </row>
    <row r="8" spans="2:14" ht="15.75" customHeight="1">
      <c r="B8" s="7"/>
      <c r="C8" s="137" t="s">
        <v>17</v>
      </c>
      <c r="D8" s="138">
        <v>24</v>
      </c>
      <c r="E8" s="174" t="s">
        <v>18</v>
      </c>
      <c r="G8" s="141" t="s">
        <v>7</v>
      </c>
      <c r="H8" s="142">
        <v>0.5</v>
      </c>
      <c r="I8" s="143">
        <v>0</v>
      </c>
      <c r="J8" s="144">
        <f>H8+20%</f>
        <v>0.7</v>
      </c>
      <c r="M8" s="9"/>
    </row>
    <row r="9" spans="2:14" ht="15.75" customHeight="1">
      <c r="B9" s="7"/>
      <c r="C9" s="137" t="s">
        <v>19</v>
      </c>
      <c r="D9" s="138">
        <v>140</v>
      </c>
      <c r="E9" s="145"/>
      <c r="G9" s="146" t="s">
        <v>8</v>
      </c>
      <c r="H9" s="147">
        <v>0.4</v>
      </c>
      <c r="I9" s="19">
        <v>0</v>
      </c>
      <c r="J9" s="148">
        <f>H9+20%</f>
        <v>0.60000000000000009</v>
      </c>
      <c r="M9" s="9"/>
    </row>
    <row r="10" spans="2:14" ht="15.75" customHeight="1">
      <c r="B10" s="7"/>
      <c r="C10" s="137" t="s">
        <v>20</v>
      </c>
      <c r="D10" s="149">
        <v>120</v>
      </c>
      <c r="E10" s="145"/>
      <c r="G10" s="150" t="s">
        <v>9</v>
      </c>
      <c r="H10" s="151">
        <v>0.3</v>
      </c>
      <c r="I10" s="152">
        <v>0</v>
      </c>
      <c r="J10" s="153">
        <f>H10+20%</f>
        <v>0.5</v>
      </c>
      <c r="L10" s="17"/>
      <c r="M10" s="139"/>
      <c r="N10" s="17"/>
    </row>
    <row r="11" spans="2:14" ht="15.75" customHeight="1">
      <c r="B11" s="7"/>
      <c r="C11" s="175" t="s">
        <v>21</v>
      </c>
      <c r="D11" s="154">
        <v>30</v>
      </c>
      <c r="E11" s="145"/>
      <c r="G11" s="155">
        <v>1</v>
      </c>
      <c r="H11" s="155">
        <v>2</v>
      </c>
      <c r="I11" s="155">
        <v>3</v>
      </c>
      <c r="J11" s="156">
        <v>4</v>
      </c>
      <c r="M11" s="9"/>
    </row>
    <row r="12" spans="2:14" ht="15.75" customHeight="1">
      <c r="B12" s="7"/>
      <c r="C12" s="137" t="s">
        <v>22</v>
      </c>
      <c r="D12" s="154">
        <v>12</v>
      </c>
      <c r="E12" s="140" t="s">
        <v>23</v>
      </c>
      <c r="M12" s="9"/>
    </row>
    <row r="13" spans="2:14" ht="15.75" customHeight="1">
      <c r="B13" s="7"/>
      <c r="C13" s="137" t="s">
        <v>24</v>
      </c>
      <c r="D13" s="157">
        <f>INT(D12*60/D9)</f>
        <v>5</v>
      </c>
      <c r="E13" s="140" t="s">
        <v>26</v>
      </c>
      <c r="G13" s="249" t="s">
        <v>53</v>
      </c>
      <c r="H13" s="233"/>
      <c r="I13" s="158">
        <v>0.05</v>
      </c>
      <c r="M13" s="9"/>
    </row>
    <row r="14" spans="2:14" ht="15.75" customHeight="1">
      <c r="B14" s="7"/>
      <c r="C14" s="137" t="s">
        <v>25</v>
      </c>
      <c r="D14" s="157">
        <f>D13*D11</f>
        <v>150</v>
      </c>
      <c r="E14" s="140"/>
      <c r="M14" s="9"/>
    </row>
    <row r="15" spans="2:14" ht="15.75" customHeight="1">
      <c r="B15" s="7"/>
      <c r="C15" s="137" t="s">
        <v>27</v>
      </c>
      <c r="D15" s="157">
        <f>D13*D8</f>
        <v>120</v>
      </c>
      <c r="E15" s="140" t="s">
        <v>28</v>
      </c>
      <c r="G15" s="250" t="s">
        <v>54</v>
      </c>
      <c r="H15" s="232"/>
      <c r="I15" s="232"/>
      <c r="J15" s="232"/>
      <c r="K15" s="233"/>
      <c r="M15" s="9"/>
    </row>
    <row r="16" spans="2:14" ht="15.75" customHeight="1">
      <c r="B16" s="7"/>
      <c r="C16" s="137" t="s">
        <v>29</v>
      </c>
      <c r="D16" s="157">
        <f>D11*D15</f>
        <v>3600</v>
      </c>
      <c r="E16" s="174" t="s">
        <v>145</v>
      </c>
      <c r="G16" s="159" t="str">
        <f>VLOOKUP(Options!$D$5,$G$8:$I$10,G11,FALSE)</f>
        <v>Average-case</v>
      </c>
      <c r="H16" s="160">
        <f>VLOOKUP(Options!$D$5,$G$8:$I$10,H11,FALSE)</f>
        <v>0.4</v>
      </c>
      <c r="I16" s="161">
        <f>VLOOKUP(Options!$D$5,$G$8:$I$10,I11,FALSE)</f>
        <v>0</v>
      </c>
      <c r="J16" s="162">
        <f>VLOOKUP(Options!$D$5,$G$8:$J$10,J11,FALSE)</f>
        <v>0.60000000000000009</v>
      </c>
      <c r="K16" s="159">
        <f>VLOOKUP(Options!$D$18,$G$21:$J$22,4,FALSE)</f>
        <v>1</v>
      </c>
      <c r="M16" s="9"/>
    </row>
    <row r="17" spans="2:13" ht="15.75" customHeight="1">
      <c r="B17" s="7"/>
      <c r="C17" s="137"/>
      <c r="D17" s="163"/>
      <c r="E17" s="136"/>
      <c r="M17" s="9"/>
    </row>
    <row r="18" spans="2:13" ht="15.75" customHeight="1">
      <c r="B18" s="7"/>
      <c r="C18" s="248" t="s">
        <v>37</v>
      </c>
      <c r="D18" s="211"/>
      <c r="E18" s="164"/>
      <c r="F18" s="164"/>
      <c r="G18" s="249" t="s">
        <v>118</v>
      </c>
      <c r="H18" s="233"/>
      <c r="I18" s="158">
        <v>0</v>
      </c>
      <c r="M18" s="9"/>
    </row>
    <row r="19" spans="2:13" ht="15.75" customHeight="1">
      <c r="B19" s="7"/>
      <c r="C19" s="137" t="s">
        <v>34</v>
      </c>
      <c r="D19" s="157">
        <f>D15*H16</f>
        <v>48</v>
      </c>
      <c r="E19" s="140" t="s">
        <v>33</v>
      </c>
      <c r="F19" s="164"/>
      <c r="M19" s="9"/>
    </row>
    <row r="20" spans="2:13" ht="15.75" customHeight="1">
      <c r="B20" s="7"/>
      <c r="C20" s="137" t="s">
        <v>35</v>
      </c>
      <c r="D20" s="157">
        <f>D16*H16</f>
        <v>1440</v>
      </c>
      <c r="E20" s="140" t="s">
        <v>36</v>
      </c>
      <c r="F20" s="164"/>
      <c r="G20" s="187" t="s">
        <v>119</v>
      </c>
      <c r="H20" s="187" t="s">
        <v>59</v>
      </c>
      <c r="I20" s="187" t="s">
        <v>60</v>
      </c>
      <c r="J20" s="187" t="s">
        <v>61</v>
      </c>
      <c r="M20" s="9"/>
    </row>
    <row r="21" spans="2:13" ht="15.75" customHeight="1">
      <c r="B21" s="7"/>
      <c r="D21" s="8"/>
      <c r="E21" s="164"/>
      <c r="F21" s="164"/>
      <c r="G21" s="165" t="s">
        <v>10</v>
      </c>
      <c r="H21" s="131" t="s">
        <v>12</v>
      </c>
      <c r="I21" s="166">
        <v>0.21</v>
      </c>
      <c r="J21" s="131">
        <v>1</v>
      </c>
      <c r="M21" s="9"/>
    </row>
    <row r="22" spans="2:13" ht="15.75" customHeight="1">
      <c r="B22" s="7"/>
      <c r="D22" s="8"/>
      <c r="E22" s="164"/>
      <c r="F22" s="164"/>
      <c r="G22" s="131" t="s">
        <v>11</v>
      </c>
      <c r="H22" s="131" t="s">
        <v>13</v>
      </c>
      <c r="I22" s="166">
        <v>0.24</v>
      </c>
      <c r="J22" s="131">
        <v>2</v>
      </c>
      <c r="K22" s="167"/>
      <c r="M22" s="9"/>
    </row>
    <row r="23" spans="2:13" ht="15.75" customHeight="1">
      <c r="B23" s="7"/>
      <c r="D23" s="8"/>
      <c r="E23" s="164"/>
      <c r="F23" s="164"/>
      <c r="M23" s="9"/>
    </row>
    <row r="24" spans="2:13" ht="15.75" customHeight="1">
      <c r="B24" s="7"/>
      <c r="C24" s="248" t="s">
        <v>37</v>
      </c>
      <c r="D24" s="211"/>
      <c r="E24" s="164"/>
      <c r="F24" s="164"/>
      <c r="G24" s="251" t="s">
        <v>55</v>
      </c>
      <c r="H24" s="252"/>
      <c r="J24" s="187" t="s">
        <v>62</v>
      </c>
      <c r="M24" s="9"/>
    </row>
    <row r="25" spans="2:13" ht="15.75" customHeight="1">
      <c r="B25" s="7"/>
      <c r="C25" s="137" t="s">
        <v>38</v>
      </c>
      <c r="D25" s="154">
        <v>20</v>
      </c>
      <c r="E25" s="164"/>
      <c r="F25" s="164"/>
      <c r="G25" s="185" t="s">
        <v>56</v>
      </c>
      <c r="H25" s="131">
        <v>0</v>
      </c>
      <c r="J25" s="186" t="s">
        <v>56</v>
      </c>
      <c r="M25" s="9"/>
    </row>
    <row r="26" spans="2:13" ht="15.75" customHeight="1">
      <c r="B26" s="7"/>
      <c r="C26" s="137"/>
      <c r="D26" s="157"/>
      <c r="E26" s="164"/>
      <c r="F26" s="164"/>
      <c r="G26" s="185" t="s">
        <v>58</v>
      </c>
      <c r="H26" s="131">
        <v>1</v>
      </c>
      <c r="J26" s="168">
        <f>VLOOKUP(J25,$G$25:$H$27,2,FALSE)</f>
        <v>0</v>
      </c>
      <c r="M26" s="9"/>
    </row>
    <row r="27" spans="2:13" ht="15.75" customHeight="1">
      <c r="B27" s="7"/>
      <c r="D27" s="8"/>
      <c r="E27" s="169"/>
      <c r="G27" s="185" t="s">
        <v>57</v>
      </c>
      <c r="H27" s="131">
        <v>2</v>
      </c>
      <c r="M27" s="9"/>
    </row>
    <row r="28" spans="2:13" ht="15.75" customHeight="1">
      <c r="B28" s="7"/>
      <c r="C28" s="248" t="s">
        <v>39</v>
      </c>
      <c r="D28" s="211"/>
      <c r="M28" s="9"/>
    </row>
    <row r="29" spans="2:13" ht="15.75" customHeight="1">
      <c r="B29" s="7"/>
      <c r="C29" s="3" t="s">
        <v>40</v>
      </c>
      <c r="D29" s="19">
        <v>100</v>
      </c>
      <c r="G29" s="184" t="s">
        <v>46</v>
      </c>
      <c r="H29" s="184" t="s">
        <v>47</v>
      </c>
      <c r="I29" s="131" t="s">
        <v>51</v>
      </c>
      <c r="M29" s="9"/>
    </row>
    <row r="30" spans="2:13" ht="15.75" customHeight="1">
      <c r="B30" s="7"/>
      <c r="C30" s="183" t="s">
        <v>44</v>
      </c>
      <c r="D30" s="19">
        <v>30</v>
      </c>
      <c r="G30" s="196" t="s">
        <v>48</v>
      </c>
      <c r="H30" s="170">
        <v>2000</v>
      </c>
      <c r="I30" s="131" t="s">
        <v>52</v>
      </c>
      <c r="M30" s="9"/>
    </row>
    <row r="31" spans="2:13" ht="15.75" customHeight="1">
      <c r="B31" s="7"/>
      <c r="C31" s="183" t="s">
        <v>43</v>
      </c>
      <c r="D31" s="19">
        <v>150</v>
      </c>
      <c r="G31" s="196" t="s">
        <v>49</v>
      </c>
      <c r="H31" s="170">
        <v>2000</v>
      </c>
      <c r="I31" s="131" t="s">
        <v>52</v>
      </c>
      <c r="M31" s="9"/>
    </row>
    <row r="32" spans="2:13" ht="15.75" customHeight="1">
      <c r="B32" s="7"/>
      <c r="C32" s="183" t="s">
        <v>123</v>
      </c>
      <c r="D32" s="171">
        <v>0.01</v>
      </c>
      <c r="E32" s="183" t="s">
        <v>45</v>
      </c>
      <c r="G32" s="172" t="s">
        <v>50</v>
      </c>
      <c r="H32" s="170">
        <v>500</v>
      </c>
      <c r="I32" s="158">
        <v>0.05</v>
      </c>
      <c r="M32" s="9"/>
    </row>
    <row r="33" spans="2:13" s="173" customFormat="1" ht="15.75" customHeight="1">
      <c r="B33" s="176"/>
      <c r="C33" s="3" t="s">
        <v>42</v>
      </c>
      <c r="D33" s="181">
        <v>15</v>
      </c>
      <c r="E33" s="3"/>
      <c r="G33" s="177"/>
      <c r="H33" s="178"/>
      <c r="I33" s="179"/>
      <c r="M33" s="180"/>
    </row>
    <row r="34" spans="2:13" ht="15.75" customHeight="1">
      <c r="B34" s="7"/>
      <c r="C34" s="182" t="s">
        <v>147</v>
      </c>
      <c r="D34" s="19">
        <f>((D9*D13)/60)*D11*D33</f>
        <v>5250</v>
      </c>
      <c r="M34" s="9"/>
    </row>
    <row r="35" spans="2:13" ht="15.75" customHeight="1">
      <c r="B35" s="7"/>
      <c r="C35" s="3" t="s">
        <v>41</v>
      </c>
      <c r="D35" s="19">
        <v>495</v>
      </c>
      <c r="E35" s="3"/>
      <c r="M35" s="9"/>
    </row>
    <row r="36" spans="2:13" ht="15.75" customHeight="1"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3"/>
    </row>
    <row r="37" spans="2:13" ht="15.75" customHeight="1"/>
    <row r="38" spans="2:13" ht="15.75" hidden="1" customHeight="1"/>
    <row r="39" spans="2:13" ht="15.75" hidden="1" customHeight="1"/>
    <row r="40" spans="2:13" ht="15.75" hidden="1" customHeight="1"/>
    <row r="41" spans="2:13" ht="15.75" hidden="1" customHeight="1"/>
    <row r="42" spans="2:13" ht="15.75" hidden="1" customHeight="1"/>
    <row r="43" spans="2:13" ht="15.75" hidden="1" customHeight="1"/>
    <row r="44" spans="2:13" ht="15.75" hidden="1" customHeight="1"/>
    <row r="45" spans="2:13" ht="15.75" hidden="1" customHeight="1"/>
    <row r="46" spans="2:13" ht="15.75" hidden="1" customHeight="1"/>
    <row r="47" spans="2:13" ht="15.75" hidden="1" customHeight="1"/>
    <row r="48" spans="2:13" ht="15.75" hidden="1" customHeight="1"/>
    <row r="49" ht="15.75" hidden="1" customHeight="1"/>
    <row r="50" ht="15.75" hidden="1" customHeight="1"/>
    <row r="51" ht="15.75" hidden="1" customHeight="1"/>
    <row r="52" ht="15.75" hidden="1" customHeight="1"/>
    <row r="53" ht="15.75" hidden="1" customHeight="1"/>
    <row r="54" ht="15.75" hidden="1" customHeight="1"/>
    <row r="55" ht="15.75" hidden="1" customHeight="1"/>
    <row r="56" ht="15.75" hidden="1" customHeight="1"/>
    <row r="57" ht="15.75" hidden="1" customHeight="1"/>
    <row r="58" ht="15.75" hidden="1" customHeight="1"/>
    <row r="59" ht="15.75" hidden="1" customHeight="1"/>
    <row r="60" ht="15.75" hidden="1" customHeight="1"/>
    <row r="61" ht="15.75" hidden="1" customHeight="1"/>
    <row r="62" ht="15.75" hidden="1" customHeight="1"/>
    <row r="63" ht="15.75" hidden="1" customHeight="1"/>
    <row r="64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G13:H13"/>
    <mergeCell ref="G15:K15"/>
    <mergeCell ref="C18:D18"/>
    <mergeCell ref="C24:D24"/>
    <mergeCell ref="C28:D28"/>
    <mergeCell ref="G18:H18"/>
    <mergeCell ref="G24:H24"/>
    <mergeCell ref="C3:L4"/>
    <mergeCell ref="G6:G7"/>
    <mergeCell ref="H6:H7"/>
    <mergeCell ref="I6:I7"/>
    <mergeCell ref="J6:J7"/>
    <mergeCell ref="C6:D6"/>
  </mergeCells>
  <dataValidations count="1">
    <dataValidation type="list" allowBlank="1" sqref="J25">
      <formula1>$G$25:$G$27</formula1>
    </dataValidation>
  </dataValidations>
  <pageMargins left="0.7" right="0.7" top="0.75" bottom="0.75" header="0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Options</vt:lpstr>
      <vt:lpstr>Starting costs</vt:lpstr>
      <vt:lpstr>Sales</vt:lpstr>
      <vt:lpstr>Profit, breakeven point</vt:lpstr>
      <vt:lpstr>Tech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Gena</cp:lastModifiedBy>
  <dcterms:created xsi:type="dcterms:W3CDTF">2021-12-08T05:50:50Z</dcterms:created>
  <dcterms:modified xsi:type="dcterms:W3CDTF">2021-12-08T09:01:07Z</dcterms:modified>
</cp:coreProperties>
</file>